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0" yWindow="30" windowWidth="9720" windowHeight="6030" tabRatio="642" firstSheet="3" activeTab="9"/>
  </bookViews>
  <sheets>
    <sheet name="Método" sheetId="1" r:id="rId1"/>
    <sheet name="Ejemplo Primaria" sheetId="2" r:id="rId2"/>
    <sheet name="Ejemplo Secundaria" sheetId="3" r:id="rId3"/>
    <sheet name="Ejemplo Puerta" sheetId="4" r:id="rId4"/>
    <sheet name="Primaria " sheetId="5" r:id="rId5"/>
    <sheet name="Secundaria" sheetId="6" r:id="rId6"/>
    <sheet name="Puerta" sheetId="7" r:id="rId7"/>
    <sheet name="dosis_Primaria" sheetId="8" r:id="rId8"/>
    <sheet name="dosis_secundaria" sheetId="9" r:id="rId9"/>
    <sheet name="dosis_Puerta" sheetId="10" r:id="rId10"/>
  </sheets>
  <definedNames/>
  <calcPr fullCalcOnLoad="1"/>
</workbook>
</file>

<file path=xl/comments10.xml><?xml version="1.0" encoding="utf-8"?>
<comments xmlns="http://schemas.openxmlformats.org/spreadsheetml/2006/main">
  <authors>
    <author>Fpro4</author>
    <author>fisica1</author>
    <author>fisica</author>
  </authors>
  <commentList>
    <comment ref="C4" authorId="0">
      <text>
        <r>
          <rPr>
            <b/>
            <sz val="8"/>
            <rFont val="Tahoma"/>
            <family val="0"/>
          </rPr>
          <t>Rellenar únicamente las celdas azules</t>
        </r>
        <r>
          <rPr>
            <sz val="8"/>
            <rFont val="Tahoma"/>
            <family val="0"/>
          </rPr>
          <t xml:space="preserve">
</t>
        </r>
      </text>
    </comment>
    <comment ref="H4" authorId="0">
      <text>
        <r>
          <rPr>
            <b/>
            <sz val="8"/>
            <rFont val="Tahoma"/>
            <family val="0"/>
          </rPr>
          <t>Sólo se tienen en cuenta la radiación terciaria (atenuada con Pb) y neutrones dispersos (atenuados con parafina)</t>
        </r>
        <r>
          <rPr>
            <sz val="8"/>
            <rFont val="Tahoma"/>
            <family val="0"/>
          </rPr>
          <t xml:space="preserve">
</t>
        </r>
      </text>
    </comment>
    <comment ref="F26" authorId="1">
      <text>
        <r>
          <rPr>
            <b/>
            <sz val="8"/>
            <rFont val="Tahoma"/>
            <family val="0"/>
          </rPr>
          <t>fisica1:</t>
        </r>
        <r>
          <rPr>
            <sz val="8"/>
            <rFont val="Tahoma"/>
            <family val="0"/>
          </rPr>
          <t xml:space="preserve">
Dejar en blanco si E&lt; 8 MV  ( No hay neutrones) </t>
        </r>
      </text>
    </comment>
    <comment ref="F29" authorId="1">
      <text>
        <r>
          <rPr>
            <sz val="8"/>
            <rFont val="Tahoma"/>
            <family val="0"/>
          </rPr>
          <t xml:space="preserve">
Dejar en blanco si E&lt; 8 MV  ( No hay neutrones) </t>
        </r>
      </text>
    </comment>
    <comment ref="F20" authorId="1">
      <text>
        <r>
          <rPr>
            <b/>
            <sz val="8"/>
            <rFont val="Tahoma"/>
            <family val="0"/>
          </rPr>
          <t>fisica1:</t>
        </r>
        <r>
          <rPr>
            <sz val="8"/>
            <rFont val="Tahoma"/>
            <family val="0"/>
          </rPr>
          <t xml:space="preserve">
Dejar en blanco si E&lt; 8 MV  ( No hay neutrones) </t>
        </r>
      </text>
    </comment>
    <comment ref="F30" authorId="2">
      <text>
        <r>
          <rPr>
            <b/>
            <sz val="8"/>
            <rFont val="Tahoma"/>
            <family val="0"/>
          </rPr>
          <t>Para radiación de neutrotes en esta norma hay que fijar  q = 10 Sv/Gy.
Se toma en general para neutrones rápidos. Para neutrones lentos y térmicos valdrán valores más pequeños.
En los aceleradores de electrones hay que tener en cuenta que, aún con neutrones dispersos, una parte importante de la dosis es aportada por neutrones rápidos dentro del espectro de neutrones.</t>
        </r>
      </text>
    </comment>
  </commentList>
</comments>
</file>

<file path=xl/comments2.xml><?xml version="1.0" encoding="utf-8"?>
<comments xmlns="http://schemas.openxmlformats.org/spreadsheetml/2006/main">
  <authors>
    <author>Fpro4</author>
    <author>fisica1</author>
  </authors>
  <commentList>
    <comment ref="C23" authorId="0">
      <text>
        <r>
          <rPr>
            <b/>
            <sz val="8"/>
            <rFont val="Tahoma"/>
            <family val="0"/>
          </rPr>
          <t>Rellenar únicamente las celdas azules</t>
        </r>
        <r>
          <rPr>
            <sz val="8"/>
            <rFont val="Tahoma"/>
            <family val="0"/>
          </rPr>
          <t xml:space="preserve">
</t>
        </r>
      </text>
    </comment>
    <comment ref="F34" authorId="1">
      <text>
        <r>
          <rPr>
            <b/>
            <sz val="8"/>
            <rFont val="Tahoma"/>
            <family val="0"/>
          </rPr>
          <t>fisica1:</t>
        </r>
        <r>
          <rPr>
            <sz val="8"/>
            <rFont val="Tahoma"/>
            <family val="0"/>
          </rPr>
          <t xml:space="preserve">
Dejar en blanco si no hay electrones</t>
        </r>
      </text>
    </comment>
    <comment ref="F38" authorId="1">
      <text>
        <r>
          <rPr>
            <b/>
            <sz val="8"/>
            <rFont val="Tahoma"/>
            <family val="0"/>
          </rPr>
          <t>fisica1:</t>
        </r>
        <r>
          <rPr>
            <sz val="8"/>
            <rFont val="Tahoma"/>
            <family val="0"/>
          </rPr>
          <t xml:space="preserve">
Dejar en blanco si no hay electrones</t>
        </r>
      </text>
    </comment>
    <comment ref="F39" authorId="1">
      <text>
        <r>
          <rPr>
            <b/>
            <sz val="8"/>
            <rFont val="Tahoma"/>
            <family val="0"/>
          </rPr>
          <t>fisica1:</t>
        </r>
        <r>
          <rPr>
            <sz val="8"/>
            <rFont val="Tahoma"/>
            <family val="0"/>
          </rPr>
          <t xml:space="preserve">
Dejar en blanco si E&lt; 8 MV  ( No hay neutrones) </t>
        </r>
      </text>
    </comment>
    <comment ref="F45" authorId="1">
      <text>
        <r>
          <rPr>
            <sz val="8"/>
            <rFont val="Tahoma"/>
            <family val="0"/>
          </rPr>
          <t xml:space="preserve">Fuente efectiva el foco.
Dejar en blanco si E&lt; 8 MV  ( No hay neutrones) </t>
        </r>
      </text>
    </comment>
    <comment ref="F48" authorId="1">
      <text>
        <r>
          <rPr>
            <sz val="8"/>
            <rFont val="Tahoma"/>
            <family val="2"/>
          </rPr>
          <t>Valor propuesto en DIN 6847 punto 8.7.7 cuando la fuente efectiva es el foco</t>
        </r>
        <r>
          <rPr>
            <sz val="8"/>
            <rFont val="Tahoma"/>
            <family val="0"/>
          </rPr>
          <t xml:space="preserve">
Dejar en blanco si E&lt; 8 MV  ( No hay neutrones) </t>
        </r>
      </text>
    </comment>
    <comment ref="F37" authorId="1">
      <text>
        <r>
          <rPr>
            <sz val="8"/>
            <rFont val="Tahoma"/>
            <family val="0"/>
          </rPr>
          <t>Datos facilitados por el  fabricante</t>
        </r>
      </text>
    </comment>
    <comment ref="F40" authorId="1">
      <text>
        <r>
          <rPr>
            <sz val="8"/>
            <rFont val="Tahoma"/>
            <family val="0"/>
          </rPr>
          <t>Con el gantry a 90º</t>
        </r>
      </text>
    </comment>
    <comment ref="F43" authorId="1">
      <text>
        <r>
          <rPr>
            <sz val="8"/>
            <rFont val="Tahoma"/>
            <family val="0"/>
          </rPr>
          <t>Con el gantry a 90º</t>
        </r>
      </text>
    </comment>
    <comment ref="F44" authorId="1">
      <text>
        <r>
          <rPr>
            <sz val="8"/>
            <rFont val="Tahoma"/>
            <family val="0"/>
          </rPr>
          <t>Con el gantry a 270º</t>
        </r>
      </text>
    </comment>
    <comment ref="F47" authorId="1">
      <text>
        <r>
          <rPr>
            <sz val="8"/>
            <rFont val="Tahoma"/>
            <family val="0"/>
          </rPr>
          <t>Superficie de la pared del laberinto</t>
        </r>
      </text>
    </comment>
    <comment ref="F54" authorId="1">
      <text>
        <r>
          <rPr>
            <sz val="8"/>
            <rFont val="Tahoma"/>
            <family val="0"/>
          </rPr>
          <t>Espesor S</t>
        </r>
        <r>
          <rPr>
            <vertAlign val="subscript"/>
            <sz val="8"/>
            <rFont val="Tahoma"/>
            <family val="2"/>
          </rPr>
          <t>i</t>
        </r>
        <r>
          <rPr>
            <sz val="8"/>
            <rFont val="Tahoma"/>
            <family val="0"/>
          </rPr>
          <t xml:space="preserve">  según la ecuación     S</t>
        </r>
        <r>
          <rPr>
            <vertAlign val="subscript"/>
            <sz val="8"/>
            <rFont val="Tahoma"/>
            <family val="2"/>
          </rPr>
          <t>i</t>
        </r>
        <r>
          <rPr>
            <sz val="8"/>
            <rFont val="Tahoma"/>
            <family val="0"/>
          </rPr>
          <t xml:space="preserve"> = Z</t>
        </r>
        <r>
          <rPr>
            <vertAlign val="subscript"/>
            <sz val="8"/>
            <rFont val="Tahoma"/>
            <family val="2"/>
          </rPr>
          <t>i</t>
        </r>
        <r>
          <rPr>
            <sz val="8"/>
            <rFont val="Tahoma"/>
            <family val="0"/>
          </rPr>
          <t>.Log10(W.T.U.K</t>
        </r>
        <r>
          <rPr>
            <vertAlign val="subscript"/>
            <sz val="8"/>
            <rFont val="Tahoma"/>
            <family val="2"/>
          </rPr>
          <t>i</t>
        </r>
        <r>
          <rPr>
            <sz val="8"/>
            <rFont val="Tahoma"/>
            <family val="0"/>
          </rPr>
          <t>.q</t>
        </r>
        <r>
          <rPr>
            <vertAlign val="subscript"/>
            <sz val="8"/>
            <rFont val="Tahoma"/>
            <family val="2"/>
          </rPr>
          <t>i</t>
        </r>
        <r>
          <rPr>
            <sz val="8"/>
            <rFont val="Tahoma"/>
            <family val="0"/>
          </rPr>
          <t>.Q/Hw)
 donde K</t>
        </r>
        <r>
          <rPr>
            <vertAlign val="subscript"/>
            <sz val="8"/>
            <rFont val="Tahoma"/>
            <family val="2"/>
          </rPr>
          <t>i</t>
        </r>
        <r>
          <rPr>
            <sz val="8"/>
            <rFont val="Tahoma"/>
            <family val="0"/>
          </rPr>
          <t xml:space="preserve">  es en cada caso lo indicado en la hoja </t>
        </r>
        <r>
          <rPr>
            <b/>
            <sz val="8"/>
            <rFont val="Tahoma"/>
            <family val="2"/>
          </rPr>
          <t>Método</t>
        </r>
        <r>
          <rPr>
            <sz val="8"/>
            <rFont val="Tahoma"/>
            <family val="0"/>
          </rPr>
          <t xml:space="preserve">  </t>
        </r>
      </text>
    </comment>
    <comment ref="F62" authorId="1">
      <text>
        <r>
          <rPr>
            <sz val="10"/>
            <rFont val="Times New Roman"/>
            <family val="1"/>
          </rPr>
          <t xml:space="preserve"> Si-S</t>
        </r>
        <r>
          <rPr>
            <vertAlign val="subscript"/>
            <sz val="10"/>
            <rFont val="Times New Roman"/>
            <family val="1"/>
          </rPr>
          <t>j</t>
        </r>
        <r>
          <rPr>
            <sz val="10"/>
            <rFont val="Times New Roman"/>
            <family val="1"/>
          </rPr>
          <t xml:space="preserve"> &gt; 1 CDR =&gt; </t>
        </r>
        <r>
          <rPr>
            <b/>
            <sz val="10"/>
            <rFont val="Times New Roman"/>
            <family val="1"/>
          </rPr>
          <t xml:space="preserve">Si </t>
        </r>
        <r>
          <rPr>
            <sz val="10"/>
            <rFont val="Times New Roman"/>
            <family val="1"/>
          </rPr>
          <t xml:space="preserve">  (despreciar Sj)
 Si-Sj &lt; 0,3 CDR =&gt;  </t>
        </r>
        <r>
          <rPr>
            <b/>
            <sz val="10"/>
            <rFont val="Times New Roman"/>
            <family val="1"/>
          </rPr>
          <t>Si +0,3 CDR</t>
        </r>
        <r>
          <rPr>
            <sz val="10"/>
            <rFont val="Times New Roman"/>
            <family val="1"/>
          </rPr>
          <t xml:space="preserve">
0,3 CDR &lt; Si-Sj &lt; 0,6 CDR =&gt; </t>
        </r>
        <r>
          <rPr>
            <b/>
            <sz val="10"/>
            <rFont val="Times New Roman"/>
            <family val="1"/>
          </rPr>
          <t>Si + 0,2 CDR</t>
        </r>
        <r>
          <rPr>
            <sz val="10"/>
            <rFont val="Times New Roman"/>
            <family val="1"/>
          </rPr>
          <t xml:space="preserve">
0,6 CDR &lt; Si-Sj &lt;  CDR =&gt; </t>
        </r>
        <r>
          <rPr>
            <b/>
            <sz val="10"/>
            <rFont val="Times New Roman"/>
            <family val="1"/>
          </rPr>
          <t>Si + 0,1 CDR</t>
        </r>
        <r>
          <rPr>
            <sz val="10"/>
            <rFont val="Times New Roman"/>
            <family val="1"/>
          </rPr>
          <t xml:space="preserve"> 
( Norma DIN 6847)
En este caso CDR = 44,35 cm
208 -154 = 54 cm &gt; 1 CDR =&gt; </t>
        </r>
        <r>
          <rPr>
            <b/>
            <sz val="10"/>
            <rFont val="Times New Roman"/>
            <family val="1"/>
          </rPr>
          <t>total 208</t>
        </r>
      </text>
    </comment>
  </commentList>
</comments>
</file>

<file path=xl/comments3.xml><?xml version="1.0" encoding="utf-8"?>
<comments xmlns="http://schemas.openxmlformats.org/spreadsheetml/2006/main">
  <authors>
    <author>Fpro4</author>
    <author>fisica1</author>
  </authors>
  <commentList>
    <comment ref="C24" authorId="0">
      <text>
        <r>
          <rPr>
            <b/>
            <sz val="8"/>
            <rFont val="Tahoma"/>
            <family val="0"/>
          </rPr>
          <t>Rellenar únicamente las celdas azules</t>
        </r>
        <r>
          <rPr>
            <sz val="8"/>
            <rFont val="Tahoma"/>
            <family val="0"/>
          </rPr>
          <t xml:space="preserve">
</t>
        </r>
      </text>
    </comment>
    <comment ref="F42" authorId="1">
      <text>
        <r>
          <rPr>
            <sz val="8"/>
            <rFont val="Tahoma"/>
            <family val="2"/>
          </rPr>
          <t xml:space="preserve">Fuente efectiva el foco.
Dejar en blanco si E&lt; 8 MV  ( No hay neutrones) </t>
        </r>
      </text>
    </comment>
    <comment ref="F45" authorId="1">
      <text>
        <r>
          <rPr>
            <sz val="8"/>
            <rFont val="Tahoma"/>
            <family val="2"/>
          </rPr>
          <t xml:space="preserve">Valor propuesto en DIN 6847 punto 8.7.7 
Dejar en blanco si E&lt; 8 MV  ( No hay neutrones)  </t>
        </r>
      </text>
    </comment>
    <comment ref="F35" authorId="1">
      <text>
        <r>
          <rPr>
            <sz val="8"/>
            <rFont val="Tahoma"/>
            <family val="0"/>
          </rPr>
          <t xml:space="preserve">Recibe radiación de una sala de Telecobaltoterapia
</t>
        </r>
      </text>
    </comment>
    <comment ref="F36" authorId="1">
      <text>
        <r>
          <rPr>
            <sz val="8"/>
            <rFont val="Tahoma"/>
            <family val="0"/>
          </rPr>
          <t>Datos facilitados por el fabricante</t>
        </r>
      </text>
    </comment>
    <comment ref="F39" authorId="1">
      <text>
        <r>
          <rPr>
            <sz val="8"/>
            <rFont val="Tahoma"/>
            <family val="0"/>
          </rPr>
          <t>Media de las distancias entre el punto 2 y el centro de las supertfies F1</t>
        </r>
        <r>
          <rPr>
            <vertAlign val="subscript"/>
            <sz val="8"/>
            <rFont val="Tahoma"/>
            <family val="2"/>
          </rPr>
          <t xml:space="preserve">t </t>
        </r>
        <r>
          <rPr>
            <sz val="8"/>
            <rFont val="Tahoma"/>
            <family val="0"/>
          </rPr>
          <t>, F2</t>
        </r>
        <r>
          <rPr>
            <vertAlign val="subscript"/>
            <sz val="8"/>
            <rFont val="Tahoma"/>
            <family val="2"/>
          </rPr>
          <t>t</t>
        </r>
        <r>
          <rPr>
            <sz val="8"/>
            <rFont val="Tahoma"/>
            <family val="0"/>
          </rPr>
          <t xml:space="preserve"> y F3</t>
        </r>
        <r>
          <rPr>
            <vertAlign val="subscript"/>
            <sz val="8"/>
            <rFont val="Tahoma"/>
            <family val="2"/>
          </rPr>
          <t>t</t>
        </r>
        <r>
          <rPr>
            <sz val="8"/>
            <rFont val="Tahoma"/>
            <family val="0"/>
          </rPr>
          <t xml:space="preserve">
</t>
        </r>
      </text>
    </comment>
    <comment ref="F40" authorId="1">
      <text>
        <r>
          <rPr>
            <sz val="8"/>
            <rFont val="Tahoma"/>
            <family val="2"/>
          </rPr>
          <t>Distancia a F1</t>
        </r>
        <r>
          <rPr>
            <vertAlign val="subscript"/>
            <sz val="8"/>
            <rFont val="Tahoma"/>
            <family val="2"/>
          </rPr>
          <t xml:space="preserve">t </t>
        </r>
        <r>
          <rPr>
            <sz val="8"/>
            <rFont val="Tahoma"/>
            <family val="2"/>
          </rPr>
          <t xml:space="preserve">, que es la mínima </t>
        </r>
      </text>
    </comment>
    <comment ref="F44" authorId="1">
      <text>
        <r>
          <rPr>
            <sz val="8"/>
            <rFont val="Tahoma"/>
            <family val="0"/>
          </rPr>
          <t>(F1</t>
        </r>
        <r>
          <rPr>
            <vertAlign val="subscript"/>
            <sz val="8"/>
            <rFont val="Tahoma"/>
            <family val="2"/>
          </rPr>
          <t>t</t>
        </r>
        <r>
          <rPr>
            <sz val="8"/>
            <rFont val="Tahoma"/>
            <family val="0"/>
          </rPr>
          <t xml:space="preserve"> + F2</t>
        </r>
        <r>
          <rPr>
            <vertAlign val="subscript"/>
            <sz val="8"/>
            <rFont val="Tahoma"/>
            <family val="2"/>
          </rPr>
          <t>t</t>
        </r>
        <r>
          <rPr>
            <sz val="8"/>
            <rFont val="Tahoma"/>
            <family val="0"/>
          </rPr>
          <t xml:space="preserve"> + F3</t>
        </r>
        <r>
          <rPr>
            <vertAlign val="subscript"/>
            <sz val="8"/>
            <rFont val="Tahoma"/>
            <family val="2"/>
          </rPr>
          <t>t</t>
        </r>
        <r>
          <rPr>
            <sz val="8"/>
            <rFont val="Tahoma"/>
            <family val="0"/>
          </rPr>
          <t xml:space="preserve">) x altura </t>
        </r>
      </text>
    </comment>
    <comment ref="F56" authorId="1">
      <text>
        <r>
          <rPr>
            <sz val="8"/>
            <rFont val="Tahoma"/>
            <family val="0"/>
          </rPr>
          <t>Para espesor total se aplica el mismo criterio que en Primaria</t>
        </r>
      </text>
    </comment>
  </commentList>
</comments>
</file>

<file path=xl/comments4.xml><?xml version="1.0" encoding="utf-8"?>
<comments xmlns="http://schemas.openxmlformats.org/spreadsheetml/2006/main">
  <authors>
    <author>Fpro4</author>
    <author>fisica1</author>
  </authors>
  <commentList>
    <comment ref="H24" authorId="0">
      <text>
        <r>
          <rPr>
            <b/>
            <sz val="8"/>
            <rFont val="Tahoma"/>
            <family val="0"/>
          </rPr>
          <t>Sólo se tienen en cuenta la radiación terciaria (atenuada con Pb) y neutrones dispersos (atenuados con parafina)</t>
        </r>
        <r>
          <rPr>
            <sz val="8"/>
            <rFont val="Tahoma"/>
            <family val="0"/>
          </rPr>
          <t xml:space="preserve">
</t>
        </r>
      </text>
    </comment>
    <comment ref="F41" authorId="1">
      <text>
        <r>
          <rPr>
            <sz val="8"/>
            <rFont val="Tahoma"/>
            <family val="0"/>
          </rPr>
          <t xml:space="preserve">  5,5+5,8 
Dejar en blanco si E&lt; 8 MV  ( No hay neutrones) </t>
        </r>
      </text>
    </comment>
    <comment ref="F43" authorId="1">
      <text>
        <r>
          <rPr>
            <sz val="8"/>
            <rFont val="Tahoma"/>
            <family val="0"/>
          </rPr>
          <t>2/6
Dejar en blanco si E&lt; 8 MV  ( No hay neutrones</t>
        </r>
      </text>
    </comment>
    <comment ref="F36" authorId="1">
      <text>
        <r>
          <rPr>
            <sz val="8"/>
            <rFont val="Tahoma"/>
            <family val="2"/>
          </rPr>
          <t>Recibe radiación de otra unidad de tratamiento</t>
        </r>
        <r>
          <rPr>
            <sz val="8"/>
            <rFont val="Tahoma"/>
            <family val="0"/>
          </rPr>
          <t xml:space="preserve">
</t>
        </r>
      </text>
    </comment>
    <comment ref="F37" authorId="1">
      <text>
        <r>
          <rPr>
            <sz val="8"/>
            <rFont val="Tahoma"/>
            <family val="0"/>
          </rPr>
          <t>Datos facilitados por el fabricante</t>
        </r>
      </text>
    </comment>
    <comment ref="F42" authorId="1">
      <text>
        <r>
          <rPr>
            <sz val="8"/>
            <rFont val="Tahoma"/>
            <family val="0"/>
          </rPr>
          <t>F</t>
        </r>
        <r>
          <rPr>
            <vertAlign val="subscript"/>
            <sz val="8"/>
            <rFont val="Tahoma"/>
            <family val="2"/>
          </rPr>
          <t>t</t>
        </r>
        <r>
          <rPr>
            <sz val="8"/>
            <rFont val="Tahoma"/>
            <family val="0"/>
          </rPr>
          <t xml:space="preserve"> x altura</t>
        </r>
      </text>
    </comment>
  </commentList>
</comments>
</file>

<file path=xl/comments5.xml><?xml version="1.0" encoding="utf-8"?>
<comments xmlns="http://schemas.openxmlformats.org/spreadsheetml/2006/main">
  <authors>
    <author>Fpro4</author>
    <author>fisica1</author>
  </authors>
  <commentList>
    <comment ref="C4" authorId="0">
      <text>
        <r>
          <rPr>
            <b/>
            <sz val="8"/>
            <rFont val="Tahoma"/>
            <family val="0"/>
          </rPr>
          <t>Rellenar únicamente las celdas azules</t>
        </r>
        <r>
          <rPr>
            <sz val="8"/>
            <rFont val="Tahoma"/>
            <family val="0"/>
          </rPr>
          <t xml:space="preserve">
</t>
        </r>
      </text>
    </comment>
    <comment ref="F15" authorId="1">
      <text>
        <r>
          <rPr>
            <b/>
            <sz val="8"/>
            <rFont val="Tahoma"/>
            <family val="0"/>
          </rPr>
          <t>fisica1:</t>
        </r>
        <r>
          <rPr>
            <sz val="8"/>
            <rFont val="Tahoma"/>
            <family val="0"/>
          </rPr>
          <t xml:space="preserve">
Dejar en blanco si no hay electrones</t>
        </r>
      </text>
    </comment>
    <comment ref="F19" authorId="1">
      <text>
        <r>
          <rPr>
            <b/>
            <sz val="8"/>
            <rFont val="Tahoma"/>
            <family val="0"/>
          </rPr>
          <t>fisica1:</t>
        </r>
        <r>
          <rPr>
            <sz val="8"/>
            <rFont val="Tahoma"/>
            <family val="0"/>
          </rPr>
          <t xml:space="preserve">
Dejar en blanco si no hay electrones</t>
        </r>
      </text>
    </comment>
    <comment ref="F20" authorId="1">
      <text>
        <r>
          <rPr>
            <b/>
            <sz val="8"/>
            <rFont val="Tahoma"/>
            <family val="0"/>
          </rPr>
          <t>fisica1:</t>
        </r>
        <r>
          <rPr>
            <sz val="8"/>
            <rFont val="Tahoma"/>
            <family val="0"/>
          </rPr>
          <t xml:space="preserve">
Dejar en blanco si E&lt; 8 MV  ( No hay neutrones) </t>
        </r>
      </text>
    </comment>
    <comment ref="F21" authorId="1">
      <text>
        <r>
          <rPr>
            <sz val="8"/>
            <rFont val="Tahoma"/>
            <family val="0"/>
          </rPr>
          <t>Con el gantry a 90º</t>
        </r>
      </text>
    </comment>
  </commentList>
</comments>
</file>

<file path=xl/comments6.xml><?xml version="1.0" encoding="utf-8"?>
<comments xmlns="http://schemas.openxmlformats.org/spreadsheetml/2006/main">
  <authors>
    <author>Fpro4</author>
    <author>fisica1</author>
  </authors>
  <commentList>
    <comment ref="C4" authorId="0">
      <text>
        <r>
          <rPr>
            <b/>
            <sz val="8"/>
            <rFont val="Tahoma"/>
            <family val="0"/>
          </rPr>
          <t>Rellenar únicamente las celdas azules</t>
        </r>
        <r>
          <rPr>
            <sz val="8"/>
            <rFont val="Tahoma"/>
            <family val="0"/>
          </rPr>
          <t xml:space="preserve">
</t>
        </r>
      </text>
    </comment>
    <comment ref="W33" authorId="0">
      <text>
        <r>
          <rPr>
            <b/>
            <sz val="8"/>
            <rFont val="Tahoma"/>
            <family val="0"/>
          </rPr>
          <t>Fpro4:</t>
        </r>
        <r>
          <rPr>
            <sz val="8"/>
            <rFont val="Tahoma"/>
            <family val="0"/>
          </rPr>
          <t xml:space="preserve">
Columna repetida</t>
        </r>
      </text>
    </comment>
    <comment ref="X33" authorId="0">
      <text>
        <r>
          <rPr>
            <b/>
            <sz val="8"/>
            <rFont val="Tahoma"/>
            <family val="0"/>
          </rPr>
          <t>Fpro4:</t>
        </r>
        <r>
          <rPr>
            <sz val="8"/>
            <rFont val="Tahoma"/>
            <family val="0"/>
          </rPr>
          <t xml:space="preserve">
Columna repetida</t>
        </r>
      </text>
    </comment>
    <comment ref="AN33" authorId="0">
      <text>
        <r>
          <rPr>
            <b/>
            <sz val="8"/>
            <rFont val="Tahoma"/>
            <family val="0"/>
          </rPr>
          <t>Fpro4:</t>
        </r>
        <r>
          <rPr>
            <sz val="8"/>
            <rFont val="Tahoma"/>
            <family val="0"/>
          </rPr>
          <t xml:space="preserve">
Columna duplicada</t>
        </r>
      </text>
    </comment>
    <comment ref="AO33" authorId="0">
      <text>
        <r>
          <rPr>
            <b/>
            <sz val="8"/>
            <rFont val="Tahoma"/>
            <family val="0"/>
          </rPr>
          <t>Fpro4:</t>
        </r>
        <r>
          <rPr>
            <sz val="8"/>
            <rFont val="Tahoma"/>
            <family val="0"/>
          </rPr>
          <t xml:space="preserve">
Columna duplicada
</t>
        </r>
      </text>
    </comment>
    <comment ref="BD33" authorId="0">
      <text>
        <r>
          <rPr>
            <b/>
            <sz val="8"/>
            <rFont val="Tahoma"/>
            <family val="0"/>
          </rPr>
          <t>Fpro4:</t>
        </r>
        <r>
          <rPr>
            <sz val="8"/>
            <rFont val="Tahoma"/>
            <family val="0"/>
          </rPr>
          <t xml:space="preserve">
Columna duplicada
</t>
        </r>
      </text>
    </comment>
    <comment ref="BE33" authorId="0">
      <text>
        <r>
          <rPr>
            <b/>
            <sz val="8"/>
            <rFont val="Tahoma"/>
            <family val="0"/>
          </rPr>
          <t>Fpro4:</t>
        </r>
        <r>
          <rPr>
            <sz val="8"/>
            <rFont val="Tahoma"/>
            <family val="0"/>
          </rPr>
          <t xml:space="preserve">
Columna duplicada
</t>
        </r>
      </text>
    </comment>
    <comment ref="F15" authorId="1">
      <text>
        <r>
          <rPr>
            <b/>
            <sz val="8"/>
            <rFont val="Tahoma"/>
            <family val="0"/>
          </rPr>
          <t>fisica1:</t>
        </r>
        <r>
          <rPr>
            <sz val="8"/>
            <rFont val="Tahoma"/>
            <family val="0"/>
          </rPr>
          <t xml:space="preserve">
No hay electrones</t>
        </r>
      </text>
    </comment>
    <comment ref="F19" authorId="1">
      <text>
        <r>
          <rPr>
            <b/>
            <sz val="8"/>
            <rFont val="Tahoma"/>
            <family val="0"/>
          </rPr>
          <t>fisica1:</t>
        </r>
        <r>
          <rPr>
            <sz val="8"/>
            <rFont val="Tahoma"/>
            <family val="0"/>
          </rPr>
          <t xml:space="preserve">
No hay electrones</t>
        </r>
      </text>
    </comment>
    <comment ref="F20" authorId="1">
      <text>
        <r>
          <rPr>
            <b/>
            <sz val="8"/>
            <rFont val="Tahoma"/>
            <family val="0"/>
          </rPr>
          <t>fisica1:</t>
        </r>
        <r>
          <rPr>
            <sz val="8"/>
            <rFont val="Tahoma"/>
            <family val="0"/>
          </rPr>
          <t xml:space="preserve">
Dejar en blanco si E&lt; 8 MV  ( No hay neutrones) </t>
        </r>
      </text>
    </comment>
    <comment ref="F26" authorId="1">
      <text>
        <r>
          <rPr>
            <b/>
            <sz val="8"/>
            <rFont val="Tahoma"/>
            <family val="0"/>
          </rPr>
          <t>fisica1:</t>
        </r>
        <r>
          <rPr>
            <sz val="8"/>
            <rFont val="Tahoma"/>
            <family val="0"/>
          </rPr>
          <t xml:space="preserve">
Dejar en blanco si E&lt; 8 MV  ( No hay neutrones) </t>
        </r>
      </text>
    </comment>
    <comment ref="F29" authorId="1">
      <text>
        <r>
          <rPr>
            <b/>
            <sz val="8"/>
            <rFont val="Tahoma"/>
            <family val="0"/>
          </rPr>
          <t>fisica1:</t>
        </r>
        <r>
          <rPr>
            <sz val="8"/>
            <rFont val="Tahoma"/>
            <family val="0"/>
          </rPr>
          <t xml:space="preserve">
Dejar en blanco si E&lt; 8 MV  ( No hay neutrones) </t>
        </r>
      </text>
    </comment>
  </commentList>
</comments>
</file>

<file path=xl/comments7.xml><?xml version="1.0" encoding="utf-8"?>
<comments xmlns="http://schemas.openxmlformats.org/spreadsheetml/2006/main">
  <authors>
    <author>Fpro4</author>
    <author>fisica1</author>
    <author>fisica</author>
  </authors>
  <commentList>
    <comment ref="C4" authorId="0">
      <text>
        <r>
          <rPr>
            <b/>
            <sz val="8"/>
            <rFont val="Tahoma"/>
            <family val="0"/>
          </rPr>
          <t>Rellenar únicamente las celdas azules</t>
        </r>
        <r>
          <rPr>
            <sz val="8"/>
            <rFont val="Tahoma"/>
            <family val="0"/>
          </rPr>
          <t xml:space="preserve">
</t>
        </r>
      </text>
    </comment>
    <comment ref="H4" authorId="0">
      <text>
        <r>
          <rPr>
            <b/>
            <sz val="8"/>
            <rFont val="Tahoma"/>
            <family val="0"/>
          </rPr>
          <t>Sólo se tienen en cuenta la radiación terciaria (atenuada con Pb) y neutrones dispersos (atenuados con parafina)</t>
        </r>
        <r>
          <rPr>
            <sz val="8"/>
            <rFont val="Tahoma"/>
            <family val="0"/>
          </rPr>
          <t xml:space="preserve">
</t>
        </r>
      </text>
    </comment>
    <comment ref="F26" authorId="1">
      <text>
        <r>
          <rPr>
            <b/>
            <sz val="8"/>
            <rFont val="Tahoma"/>
            <family val="0"/>
          </rPr>
          <t>fisica1:</t>
        </r>
        <r>
          <rPr>
            <sz val="8"/>
            <rFont val="Tahoma"/>
            <family val="0"/>
          </rPr>
          <t xml:space="preserve">
Dejar en blanco si E&lt; 8 MV  ( No hay neutrones) </t>
        </r>
      </text>
    </comment>
    <comment ref="F29" authorId="1">
      <text>
        <r>
          <rPr>
            <sz val="8"/>
            <rFont val="Tahoma"/>
            <family val="0"/>
          </rPr>
          <t xml:space="preserve">
Dejar en blanco si E&lt; 8 MV  ( No hay neutrones) </t>
        </r>
      </text>
    </comment>
    <comment ref="F20" authorId="1">
      <text>
        <r>
          <rPr>
            <b/>
            <sz val="8"/>
            <rFont val="Tahoma"/>
            <family val="0"/>
          </rPr>
          <t>fisica1:</t>
        </r>
        <r>
          <rPr>
            <sz val="8"/>
            <rFont val="Tahoma"/>
            <family val="0"/>
          </rPr>
          <t xml:space="preserve">
Dejar en blanco si E&lt; 8 MV  ( No hay neutrones) </t>
        </r>
      </text>
    </comment>
    <comment ref="F30" authorId="2">
      <text>
        <r>
          <rPr>
            <b/>
            <sz val="8"/>
            <rFont val="Tahoma"/>
            <family val="0"/>
          </rPr>
          <t>Para radiación de neutrotes en esta norma hay que fijar  q = 10 Sv/Gy.
Se toma en general para neutrones rápidos. Para neutrones lentos y térmicos valdrán valores más pequeños.
En los aceleradores de electrones hay que tener en cuenta que, aún con neutrones dispersos, una parte importante de la dosis es aportada por neutrones rápidos dentro del espectro de neutrones.</t>
        </r>
      </text>
    </comment>
    <comment ref="E32" authorId="2">
      <text>
        <r>
          <rPr>
            <b/>
            <sz val="8"/>
            <rFont val="Tahoma"/>
            <family val="0"/>
          </rPr>
          <t>Polietileno Borado</t>
        </r>
      </text>
    </comment>
  </commentList>
</comments>
</file>

<file path=xl/comments8.xml><?xml version="1.0" encoding="utf-8"?>
<comments xmlns="http://schemas.openxmlformats.org/spreadsheetml/2006/main">
  <authors>
    <author>Fpro4</author>
    <author>fisica1</author>
  </authors>
  <commentList>
    <comment ref="C4" authorId="0">
      <text>
        <r>
          <rPr>
            <b/>
            <sz val="8"/>
            <rFont val="Tahoma"/>
            <family val="0"/>
          </rPr>
          <t>Rellenar únicamente las celdas azules</t>
        </r>
        <r>
          <rPr>
            <sz val="8"/>
            <rFont val="Tahoma"/>
            <family val="0"/>
          </rPr>
          <t xml:space="preserve">
</t>
        </r>
      </text>
    </comment>
    <comment ref="F15" authorId="1">
      <text>
        <r>
          <rPr>
            <b/>
            <sz val="8"/>
            <rFont val="Tahoma"/>
            <family val="0"/>
          </rPr>
          <t>fisica1:</t>
        </r>
        <r>
          <rPr>
            <sz val="8"/>
            <rFont val="Tahoma"/>
            <family val="0"/>
          </rPr>
          <t xml:space="preserve">
Dejar en blanco si no hay electrones</t>
        </r>
      </text>
    </comment>
    <comment ref="F19" authorId="1">
      <text>
        <r>
          <rPr>
            <b/>
            <sz val="8"/>
            <rFont val="Tahoma"/>
            <family val="0"/>
          </rPr>
          <t>fisica1:</t>
        </r>
        <r>
          <rPr>
            <sz val="8"/>
            <rFont val="Tahoma"/>
            <family val="0"/>
          </rPr>
          <t xml:space="preserve">
Dejar en blanco si no hay electrones</t>
        </r>
      </text>
    </comment>
    <comment ref="F20" authorId="1">
      <text>
        <r>
          <rPr>
            <b/>
            <sz val="8"/>
            <rFont val="Tahoma"/>
            <family val="0"/>
          </rPr>
          <t>fisica1:</t>
        </r>
        <r>
          <rPr>
            <sz val="8"/>
            <rFont val="Tahoma"/>
            <family val="0"/>
          </rPr>
          <t xml:space="preserve">
Dejar en blanco si E&lt; 8 MV  ( No hay neutrones) </t>
        </r>
      </text>
    </comment>
    <comment ref="F21" authorId="1">
      <text>
        <r>
          <rPr>
            <sz val="8"/>
            <rFont val="Tahoma"/>
            <family val="0"/>
          </rPr>
          <t>Con el gantry a 90º</t>
        </r>
      </text>
    </comment>
  </commentList>
</comments>
</file>

<file path=xl/comments9.xml><?xml version="1.0" encoding="utf-8"?>
<comments xmlns="http://schemas.openxmlformats.org/spreadsheetml/2006/main">
  <authors>
    <author>Fpro4</author>
    <author>fisica1</author>
  </authors>
  <commentList>
    <comment ref="C4" authorId="0">
      <text>
        <r>
          <rPr>
            <b/>
            <sz val="8"/>
            <rFont val="Tahoma"/>
            <family val="0"/>
          </rPr>
          <t>Rellenar únicamente las celdas azules</t>
        </r>
        <r>
          <rPr>
            <sz val="8"/>
            <rFont val="Tahoma"/>
            <family val="0"/>
          </rPr>
          <t xml:space="preserve">
</t>
        </r>
      </text>
    </comment>
    <comment ref="F15" authorId="1">
      <text>
        <r>
          <rPr>
            <b/>
            <sz val="8"/>
            <rFont val="Tahoma"/>
            <family val="0"/>
          </rPr>
          <t>fisica1:</t>
        </r>
        <r>
          <rPr>
            <sz val="8"/>
            <rFont val="Tahoma"/>
            <family val="0"/>
          </rPr>
          <t xml:space="preserve">
No hay electrones</t>
        </r>
      </text>
    </comment>
    <comment ref="F19" authorId="1">
      <text>
        <r>
          <rPr>
            <b/>
            <sz val="8"/>
            <rFont val="Tahoma"/>
            <family val="0"/>
          </rPr>
          <t>fisica1:</t>
        </r>
        <r>
          <rPr>
            <sz val="8"/>
            <rFont val="Tahoma"/>
            <family val="0"/>
          </rPr>
          <t xml:space="preserve">
No hay electrones</t>
        </r>
      </text>
    </comment>
    <comment ref="F20" authorId="1">
      <text>
        <r>
          <rPr>
            <b/>
            <sz val="8"/>
            <rFont val="Tahoma"/>
            <family val="0"/>
          </rPr>
          <t>fisica1:</t>
        </r>
        <r>
          <rPr>
            <sz val="8"/>
            <rFont val="Tahoma"/>
            <family val="0"/>
          </rPr>
          <t xml:space="preserve">
Dejar en blanco si E&lt; 8 MV  ( No hay neutrones) </t>
        </r>
      </text>
    </comment>
    <comment ref="F26" authorId="1">
      <text>
        <r>
          <rPr>
            <b/>
            <sz val="8"/>
            <rFont val="Tahoma"/>
            <family val="0"/>
          </rPr>
          <t>fisica1:</t>
        </r>
        <r>
          <rPr>
            <sz val="8"/>
            <rFont val="Tahoma"/>
            <family val="0"/>
          </rPr>
          <t xml:space="preserve">
Dejar en blanco si E&lt; 8 MV  ( No hay neutrones) </t>
        </r>
      </text>
    </comment>
    <comment ref="F29" authorId="1">
      <text>
        <r>
          <rPr>
            <b/>
            <sz val="8"/>
            <rFont val="Tahoma"/>
            <family val="0"/>
          </rPr>
          <t>fisica1:</t>
        </r>
        <r>
          <rPr>
            <sz val="8"/>
            <rFont val="Tahoma"/>
            <family val="0"/>
          </rPr>
          <t xml:space="preserve">
Dejar en blanco si E&lt; 8 MV  ( No hay neutrones) </t>
        </r>
      </text>
    </comment>
    <comment ref="BD34" authorId="0">
      <text>
        <r>
          <rPr>
            <b/>
            <sz val="8"/>
            <rFont val="Tahoma"/>
            <family val="0"/>
          </rPr>
          <t>Fpro4:</t>
        </r>
        <r>
          <rPr>
            <sz val="8"/>
            <rFont val="Tahoma"/>
            <family val="0"/>
          </rPr>
          <t xml:space="preserve">
Columna duplicada
</t>
        </r>
      </text>
    </comment>
    <comment ref="BE34" authorId="0">
      <text>
        <r>
          <rPr>
            <b/>
            <sz val="8"/>
            <rFont val="Tahoma"/>
            <family val="0"/>
          </rPr>
          <t>Fpro4:</t>
        </r>
        <r>
          <rPr>
            <sz val="8"/>
            <rFont val="Tahoma"/>
            <family val="0"/>
          </rPr>
          <t xml:space="preserve">
Columna duplicada
</t>
        </r>
      </text>
    </comment>
  </commentList>
</comments>
</file>

<file path=xl/sharedStrings.xml><?xml version="1.0" encoding="utf-8"?>
<sst xmlns="http://schemas.openxmlformats.org/spreadsheetml/2006/main" count="644" uniqueCount="196">
  <si>
    <t>W:</t>
  </si>
  <si>
    <t>T:</t>
  </si>
  <si>
    <t>Factor de ocupación</t>
  </si>
  <si>
    <t>U:</t>
  </si>
  <si>
    <t>Factor de uso de la barrera</t>
  </si>
  <si>
    <t>d:</t>
  </si>
  <si>
    <t>Límite de dosis semanal en mSv, para la zona</t>
  </si>
  <si>
    <r>
      <t>d</t>
    </r>
    <r>
      <rPr>
        <vertAlign val="subscript"/>
        <sz val="12"/>
        <rFont val="Times New Roman"/>
        <family val="1"/>
      </rPr>
      <t>s</t>
    </r>
    <r>
      <rPr>
        <sz val="12"/>
        <rFont val="Times New Roman"/>
        <family val="0"/>
      </rPr>
      <t>:</t>
    </r>
  </si>
  <si>
    <r>
      <t>H</t>
    </r>
    <r>
      <rPr>
        <vertAlign val="subscript"/>
        <sz val="12"/>
        <rFont val="Times New Roman"/>
        <family val="1"/>
      </rPr>
      <t>w</t>
    </r>
    <r>
      <rPr>
        <sz val="12"/>
        <rFont val="Times New Roman"/>
        <family val="0"/>
      </rPr>
      <t>:</t>
    </r>
  </si>
  <si>
    <t>Barrera:</t>
  </si>
  <si>
    <t>Dependencia contigua:</t>
  </si>
  <si>
    <t>Símbolo en el plano:</t>
  </si>
  <si>
    <t>Clasificación de zona</t>
  </si>
  <si>
    <t>CÁLCULO DE BLINDAJES PARA BARRERA PRIMARIA</t>
  </si>
  <si>
    <t>Valores</t>
  </si>
  <si>
    <t>CÁLCULO DE BLINDAJES PARA BARRERA SECUNDARIA</t>
  </si>
  <si>
    <t>Indice</t>
  </si>
  <si>
    <t>Institución:</t>
  </si>
  <si>
    <t>Fecha:</t>
  </si>
  <si>
    <t>Sala:</t>
  </si>
  <si>
    <t>HCU</t>
  </si>
  <si>
    <t>Espesor de material:</t>
  </si>
  <si>
    <t>Radiación directa RX:</t>
  </si>
  <si>
    <t>Radiación secundaria RX:</t>
  </si>
  <si>
    <t>Radiación terciaria RX:</t>
  </si>
  <si>
    <t>Radiación de fuga:</t>
  </si>
  <si>
    <t>Radiación directa neutrones:</t>
  </si>
  <si>
    <r>
      <t>K</t>
    </r>
    <r>
      <rPr>
        <vertAlign val="subscript"/>
        <sz val="12"/>
        <color indexed="12"/>
        <rFont val="Times New Roman"/>
        <family val="1"/>
      </rPr>
      <t>r</t>
    </r>
    <r>
      <rPr>
        <sz val="12"/>
        <color indexed="12"/>
        <rFont val="Times New Roman"/>
        <family val="0"/>
      </rPr>
      <t xml:space="preserve"> = 1/d</t>
    </r>
    <r>
      <rPr>
        <vertAlign val="superscript"/>
        <sz val="12"/>
        <color indexed="12"/>
        <rFont val="Times New Roman"/>
        <family val="1"/>
      </rPr>
      <t>2</t>
    </r>
  </si>
  <si>
    <r>
      <t>K</t>
    </r>
    <r>
      <rPr>
        <vertAlign val="subscript"/>
        <sz val="12"/>
        <color indexed="12"/>
        <rFont val="Times New Roman"/>
        <family val="1"/>
      </rPr>
      <t>s</t>
    </r>
    <r>
      <rPr>
        <sz val="12"/>
        <color indexed="12"/>
        <rFont val="Times New Roman"/>
        <family val="0"/>
      </rPr>
      <t xml:space="preserve"> = 10</t>
    </r>
    <r>
      <rPr>
        <vertAlign val="superscript"/>
        <sz val="12"/>
        <color indexed="12"/>
        <rFont val="Times New Roman"/>
        <family val="1"/>
      </rPr>
      <t>-2</t>
    </r>
    <r>
      <rPr>
        <sz val="12"/>
        <color indexed="12"/>
        <rFont val="Times New Roman"/>
        <family val="0"/>
      </rPr>
      <t>.F</t>
    </r>
    <r>
      <rPr>
        <vertAlign val="subscript"/>
        <sz val="12"/>
        <color indexed="12"/>
        <rFont val="Times New Roman"/>
        <family val="1"/>
      </rPr>
      <t>n</t>
    </r>
    <r>
      <rPr>
        <sz val="12"/>
        <color indexed="12"/>
        <rFont val="Times New Roman"/>
        <family val="0"/>
      </rPr>
      <t>/d</t>
    </r>
    <r>
      <rPr>
        <vertAlign val="subscript"/>
        <sz val="12"/>
        <color indexed="12"/>
        <rFont val="Times New Roman"/>
        <family val="1"/>
      </rPr>
      <t>s</t>
    </r>
    <r>
      <rPr>
        <vertAlign val="superscript"/>
        <sz val="12"/>
        <color indexed="12"/>
        <rFont val="Times New Roman"/>
        <family val="1"/>
      </rPr>
      <t>2</t>
    </r>
  </si>
  <si>
    <t>Rad. dispersa neutrones:</t>
  </si>
  <si>
    <r>
      <t>K</t>
    </r>
    <r>
      <rPr>
        <vertAlign val="subscript"/>
        <sz val="12"/>
        <color indexed="12"/>
        <rFont val="Times New Roman"/>
        <family val="1"/>
      </rPr>
      <t>g</t>
    </r>
    <r>
      <rPr>
        <sz val="12"/>
        <color indexed="12"/>
        <rFont val="Times New Roman"/>
        <family val="1"/>
      </rPr>
      <t xml:space="preserve"> = 0,1.(Dn/Dr).(1/d</t>
    </r>
    <r>
      <rPr>
        <vertAlign val="subscript"/>
        <sz val="12"/>
        <color indexed="12"/>
        <rFont val="Times New Roman"/>
        <family val="1"/>
      </rPr>
      <t>g</t>
    </r>
    <r>
      <rPr>
        <sz val="12"/>
        <color indexed="12"/>
        <rFont val="Times New Roman"/>
        <family val="1"/>
      </rPr>
      <t>).(b/l)</t>
    </r>
  </si>
  <si>
    <t>Rad. frenado electrones:</t>
  </si>
  <si>
    <r>
      <t>K</t>
    </r>
    <r>
      <rPr>
        <vertAlign val="subscript"/>
        <sz val="12"/>
        <color indexed="12"/>
        <rFont val="Times New Roman"/>
        <family val="1"/>
      </rPr>
      <t>b</t>
    </r>
    <r>
      <rPr>
        <sz val="12"/>
        <color indexed="12"/>
        <rFont val="Times New Roman"/>
        <family val="1"/>
      </rPr>
      <t xml:space="preserve"> = ((Dre/De)+ k</t>
    </r>
    <r>
      <rPr>
        <vertAlign val="subscript"/>
        <sz val="12"/>
        <color indexed="12"/>
        <rFont val="Times New Roman"/>
        <family val="1"/>
      </rPr>
      <t>e</t>
    </r>
    <r>
      <rPr>
        <sz val="12"/>
        <color indexed="12"/>
        <rFont val="Times New Roman"/>
        <family val="1"/>
      </rPr>
      <t>)/d</t>
    </r>
    <r>
      <rPr>
        <vertAlign val="superscript"/>
        <sz val="12"/>
        <color indexed="12"/>
        <rFont val="Times New Roman"/>
        <family val="1"/>
      </rPr>
      <t>2</t>
    </r>
  </si>
  <si>
    <t>Carga de trabajo en términos de mGy/sem</t>
  </si>
  <si>
    <r>
      <t>S</t>
    </r>
    <r>
      <rPr>
        <vertAlign val="subscript"/>
        <sz val="12"/>
        <color indexed="12"/>
        <rFont val="Times New Roman"/>
        <family val="1"/>
      </rPr>
      <t>i</t>
    </r>
    <r>
      <rPr>
        <sz val="12"/>
        <color indexed="12"/>
        <rFont val="Times New Roman"/>
        <family val="0"/>
      </rPr>
      <t xml:space="preserve"> = Z</t>
    </r>
    <r>
      <rPr>
        <vertAlign val="subscript"/>
        <sz val="12"/>
        <color indexed="12"/>
        <rFont val="Times New Roman"/>
        <family val="1"/>
      </rPr>
      <t>i</t>
    </r>
    <r>
      <rPr>
        <sz val="12"/>
        <color indexed="12"/>
        <rFont val="Times New Roman"/>
        <family val="0"/>
      </rPr>
      <t>.Log</t>
    </r>
    <r>
      <rPr>
        <vertAlign val="subscript"/>
        <sz val="12"/>
        <color indexed="12"/>
        <rFont val="Times New Roman"/>
        <family val="1"/>
      </rPr>
      <t>10</t>
    </r>
    <r>
      <rPr>
        <sz val="12"/>
        <color indexed="12"/>
        <rFont val="Times New Roman"/>
        <family val="0"/>
      </rPr>
      <t>(W.T.U.K</t>
    </r>
    <r>
      <rPr>
        <vertAlign val="subscript"/>
        <sz val="12"/>
        <color indexed="12"/>
        <rFont val="Times New Roman"/>
        <family val="1"/>
      </rPr>
      <t>i</t>
    </r>
    <r>
      <rPr>
        <sz val="12"/>
        <color indexed="12"/>
        <rFont val="Times New Roman"/>
        <family val="0"/>
      </rPr>
      <t>.q</t>
    </r>
    <r>
      <rPr>
        <vertAlign val="subscript"/>
        <sz val="12"/>
        <color indexed="12"/>
        <rFont val="Times New Roman"/>
        <family val="1"/>
      </rPr>
      <t>i</t>
    </r>
    <r>
      <rPr>
        <sz val="12"/>
        <color indexed="12"/>
        <rFont val="Times New Roman"/>
        <family val="1"/>
      </rPr>
      <t>.Q</t>
    </r>
    <r>
      <rPr>
        <sz val="12"/>
        <color indexed="12"/>
        <rFont val="Times New Roman"/>
        <family val="0"/>
      </rPr>
      <t>/H</t>
    </r>
    <r>
      <rPr>
        <vertAlign val="subscript"/>
        <sz val="12"/>
        <color indexed="12"/>
        <rFont val="Times New Roman"/>
        <family val="1"/>
      </rPr>
      <t>w</t>
    </r>
    <r>
      <rPr>
        <sz val="12"/>
        <color indexed="12"/>
        <rFont val="Times New Roman"/>
        <family val="0"/>
      </rPr>
      <t>)</t>
    </r>
  </si>
  <si>
    <r>
      <t>Donde K</t>
    </r>
    <r>
      <rPr>
        <b/>
        <i/>
        <vertAlign val="subscript"/>
        <sz val="12"/>
        <rFont val="Times New Roman"/>
        <family val="1"/>
      </rPr>
      <t>i</t>
    </r>
    <r>
      <rPr>
        <b/>
        <i/>
        <sz val="12"/>
        <rFont val="Times New Roman"/>
        <family val="1"/>
      </rPr>
      <t xml:space="preserve"> representa el factor de reducción del rendimiento, variable según el tipo de radiación:</t>
    </r>
  </si>
  <si>
    <r>
      <t>F</t>
    </r>
    <r>
      <rPr>
        <vertAlign val="subscript"/>
        <sz val="12"/>
        <rFont val="Times New Roman"/>
        <family val="1"/>
      </rPr>
      <t>n</t>
    </r>
    <r>
      <rPr>
        <sz val="12"/>
        <rFont val="Times New Roman"/>
        <family val="0"/>
      </rPr>
      <t>:</t>
    </r>
  </si>
  <si>
    <r>
      <t>Aréa del campo máximo en isocentro en m</t>
    </r>
    <r>
      <rPr>
        <vertAlign val="superscript"/>
        <sz val="12"/>
        <rFont val="Times New Roman"/>
        <family val="1"/>
      </rPr>
      <t>2</t>
    </r>
  </si>
  <si>
    <t>Do/Dr :</t>
  </si>
  <si>
    <t>Rendimiento de radiación de fuga de rayos X ( a suministrar por el fabricante)</t>
  </si>
  <si>
    <r>
      <t>F</t>
    </r>
    <r>
      <rPr>
        <vertAlign val="subscript"/>
        <sz val="12"/>
        <rFont val="Times New Roman"/>
        <family val="1"/>
      </rPr>
      <t>t</t>
    </r>
    <r>
      <rPr>
        <sz val="12"/>
        <rFont val="Times New Roman"/>
        <family val="0"/>
      </rPr>
      <t>:</t>
    </r>
  </si>
  <si>
    <r>
      <t>Área de la zona de choque de radiación sencundaria vista desde el punto a proteger, en m</t>
    </r>
    <r>
      <rPr>
        <vertAlign val="superscript"/>
        <sz val="12"/>
        <rFont val="Times New Roman"/>
        <family val="1"/>
      </rPr>
      <t>2</t>
    </r>
  </si>
  <si>
    <r>
      <t>d</t>
    </r>
    <r>
      <rPr>
        <vertAlign val="subscript"/>
        <sz val="12"/>
        <rFont val="Times New Roman"/>
        <family val="1"/>
      </rPr>
      <t>t</t>
    </r>
    <r>
      <rPr>
        <sz val="12"/>
        <rFont val="Times New Roman"/>
        <family val="0"/>
      </rPr>
      <t>:</t>
    </r>
  </si>
  <si>
    <t>Distancia foco-barrera en m</t>
  </si>
  <si>
    <t>Distancia paciente-barrera secundaria en m</t>
  </si>
  <si>
    <r>
      <t>Distancia desde el punto a proteger hasta el centro de la superficie F</t>
    </r>
    <r>
      <rPr>
        <vertAlign val="subscript"/>
        <sz val="12"/>
        <rFont val="Times New Roman"/>
        <family val="1"/>
      </rPr>
      <t>t</t>
    </r>
    <r>
      <rPr>
        <sz val="12"/>
        <rFont val="Times New Roman"/>
        <family val="0"/>
      </rPr>
      <t>, en m</t>
    </r>
  </si>
  <si>
    <t>Dn/Dr:</t>
  </si>
  <si>
    <t>Contaminación de neutrones en el haz útil (a suministrar por el fabricante)</t>
  </si>
  <si>
    <r>
      <t>d</t>
    </r>
    <r>
      <rPr>
        <vertAlign val="subscript"/>
        <sz val="12"/>
        <rFont val="Times New Roman"/>
        <family val="1"/>
      </rPr>
      <t>g</t>
    </r>
    <r>
      <rPr>
        <sz val="12"/>
        <rFont val="Times New Roman"/>
        <family val="0"/>
      </rPr>
      <t>:</t>
    </r>
  </si>
  <si>
    <t>Suma de los trayectos del haz de neutrones desde la fuente efectiva hasta el punto a proteger</t>
  </si>
  <si>
    <t>b/l:</t>
  </si>
  <si>
    <t>Realción ancho/largo de la esclusa</t>
  </si>
  <si>
    <t>Dre/De:</t>
  </si>
  <si>
    <t>Contaminación de rayos X  en el haz de electrones (a suministrar por el fabricante)</t>
  </si>
  <si>
    <r>
      <t>k</t>
    </r>
    <r>
      <rPr>
        <vertAlign val="subscript"/>
        <sz val="12"/>
        <rFont val="Times New Roman"/>
        <family val="1"/>
      </rPr>
      <t>e</t>
    </r>
    <r>
      <rPr>
        <sz val="12"/>
        <rFont val="Times New Roman"/>
        <family val="0"/>
      </rPr>
      <t>:</t>
    </r>
  </si>
  <si>
    <t>Dr:</t>
  </si>
  <si>
    <t>De:</t>
  </si>
  <si>
    <t>Tasa de dosis máxima de rayos X,  en Gy/min</t>
  </si>
  <si>
    <t>Tasa de dosis máxima de electrones, en Gy/min</t>
  </si>
  <si>
    <t>Factor para dimensionar blindajes contra radiación de frenado generada fuera del emisor</t>
  </si>
  <si>
    <r>
      <t>q</t>
    </r>
    <r>
      <rPr>
        <vertAlign val="subscript"/>
        <sz val="12"/>
        <rFont val="Times New Roman"/>
        <family val="1"/>
      </rPr>
      <t>i</t>
    </r>
    <r>
      <rPr>
        <sz val="12"/>
        <rFont val="Times New Roman"/>
        <family val="0"/>
      </rPr>
      <t xml:space="preserve"> :</t>
    </r>
  </si>
  <si>
    <t>Factor de calidad de radiación ( 1 para electrones y fotones, 10 para neutrones)</t>
  </si>
  <si>
    <t>Q:</t>
  </si>
  <si>
    <t xml:space="preserve">Factor que tiene en cuenta  la contribución de otro emisor de radiaciones en el punto </t>
  </si>
  <si>
    <t>Basado en la Norma DIN 6847 parte 2 "Instalaciones de aceleradores electrónicos lineales para uso médico"</t>
  </si>
  <si>
    <t>Espesor del blindaje, en cm</t>
  </si>
  <si>
    <r>
      <t>S</t>
    </r>
    <r>
      <rPr>
        <vertAlign val="subscript"/>
        <sz val="12"/>
        <rFont val="Times New Roman"/>
        <family val="1"/>
      </rPr>
      <t>i</t>
    </r>
    <r>
      <rPr>
        <sz val="12"/>
        <rFont val="Times New Roman"/>
        <family val="0"/>
      </rPr>
      <t>:</t>
    </r>
  </si>
  <si>
    <r>
      <t>Z</t>
    </r>
    <r>
      <rPr>
        <vertAlign val="subscript"/>
        <sz val="12"/>
        <rFont val="Times New Roman"/>
        <family val="1"/>
      </rPr>
      <t>i</t>
    </r>
    <r>
      <rPr>
        <sz val="12"/>
        <rFont val="Times New Roman"/>
        <family val="0"/>
      </rPr>
      <t>:</t>
    </r>
  </si>
  <si>
    <t>DATOS PARA EL CÁLCULO</t>
  </si>
  <si>
    <t>Factor de ocupación T</t>
  </si>
  <si>
    <r>
      <t>Límite semanal (mSv) H</t>
    </r>
    <r>
      <rPr>
        <vertAlign val="subscript"/>
        <sz val="12"/>
        <rFont val="Times New Roman"/>
        <family val="1"/>
      </rPr>
      <t>w</t>
    </r>
  </si>
  <si>
    <t>Energía máxima  rayos X (entre 1 y 50 MV)</t>
  </si>
  <si>
    <t>Carga semanal (mGy/semana) W</t>
  </si>
  <si>
    <t>Factor contribución otras radiaciones Q</t>
  </si>
  <si>
    <t>Do/Dr</t>
  </si>
  <si>
    <t>Dre/De</t>
  </si>
  <si>
    <t>Dn/Dr</t>
  </si>
  <si>
    <t>Distancia foco-barrera (m) d</t>
  </si>
  <si>
    <r>
      <t>Distancia paciente-barrera (m) d</t>
    </r>
    <r>
      <rPr>
        <vertAlign val="subscript"/>
        <sz val="12"/>
        <rFont val="Times New Roman"/>
        <family val="1"/>
      </rPr>
      <t>s</t>
    </r>
  </si>
  <si>
    <r>
      <t>Suma trayectos neutrones d</t>
    </r>
    <r>
      <rPr>
        <vertAlign val="subscript"/>
        <sz val="12"/>
        <rFont val="Times New Roman"/>
        <family val="1"/>
      </rPr>
      <t>g</t>
    </r>
  </si>
  <si>
    <r>
      <t>Área campo máximo en isocentro (m</t>
    </r>
    <r>
      <rPr>
        <vertAlign val="superscript"/>
        <sz val="12"/>
        <rFont val="Times New Roman"/>
        <family val="1"/>
      </rPr>
      <t>2</t>
    </r>
    <r>
      <rPr>
        <sz val="12"/>
        <rFont val="Times New Roman"/>
        <family val="0"/>
      </rPr>
      <t>) F</t>
    </r>
    <r>
      <rPr>
        <vertAlign val="subscript"/>
        <sz val="12"/>
        <rFont val="Times New Roman"/>
        <family val="1"/>
      </rPr>
      <t>n</t>
    </r>
  </si>
  <si>
    <r>
      <t>Área zona choque (m</t>
    </r>
    <r>
      <rPr>
        <vertAlign val="superscript"/>
        <sz val="12"/>
        <rFont val="Times New Roman"/>
        <family val="1"/>
      </rPr>
      <t>2</t>
    </r>
    <r>
      <rPr>
        <sz val="12"/>
        <rFont val="Times New Roman"/>
        <family val="0"/>
      </rPr>
      <t>) F</t>
    </r>
    <r>
      <rPr>
        <vertAlign val="subscript"/>
        <sz val="12"/>
        <rFont val="Times New Roman"/>
        <family val="1"/>
      </rPr>
      <t>t</t>
    </r>
  </si>
  <si>
    <t>Hormigón</t>
  </si>
  <si>
    <t>Plomo</t>
  </si>
  <si>
    <t xml:space="preserve">Hormigón baritado </t>
  </si>
  <si>
    <t>Espesor para dispersa neutrones (cm)</t>
  </si>
  <si>
    <t>Espesor para  RX directa (cm)</t>
  </si>
  <si>
    <t>Espesor para RX secundaria (cm)</t>
  </si>
  <si>
    <t>Espesor para RX terciaria (cm)</t>
  </si>
  <si>
    <t>Espesor para directa de neutrones (cm)</t>
  </si>
  <si>
    <t>Espesor para fuga (cm)</t>
  </si>
  <si>
    <t>Espesor para frenado de electrones (cm)</t>
  </si>
  <si>
    <t>Espesor de la contribución total (cm)</t>
  </si>
  <si>
    <t>CDR (cm)</t>
  </si>
  <si>
    <t>MV</t>
  </si>
  <si>
    <t>Interpol</t>
  </si>
  <si>
    <t>Energía</t>
  </si>
  <si>
    <t>MV1</t>
  </si>
  <si>
    <t>MV2</t>
  </si>
  <si>
    <t>CDR</t>
  </si>
  <si>
    <t>ke</t>
  </si>
  <si>
    <t>MeV</t>
  </si>
  <si>
    <t>MeV1</t>
  </si>
  <si>
    <t>MeV2</t>
  </si>
  <si>
    <t>Kb frenado de electrones</t>
  </si>
  <si>
    <t xml:space="preserve">Kr  RX directa </t>
  </si>
  <si>
    <t xml:space="preserve">Ks RX secundaria </t>
  </si>
  <si>
    <t xml:space="preserve">Kt RX terciaria </t>
  </si>
  <si>
    <t xml:space="preserve">Ko fuga </t>
  </si>
  <si>
    <t xml:space="preserve">Kd directa de neutrones </t>
  </si>
  <si>
    <t>Kg dispersa neutrones</t>
  </si>
  <si>
    <t>Energía máxima electrones(entre 6 y 50 MeV)</t>
  </si>
  <si>
    <t>Factor de uso directa U</t>
  </si>
  <si>
    <t>Controlada</t>
  </si>
  <si>
    <r>
      <t>Distancia de F</t>
    </r>
    <r>
      <rPr>
        <vertAlign val="subscript"/>
        <sz val="12"/>
        <rFont val="Times New Roman"/>
        <family val="1"/>
      </rPr>
      <t>t</t>
    </r>
    <r>
      <rPr>
        <sz val="12"/>
        <rFont val="Times New Roman"/>
        <family val="0"/>
      </rPr>
      <t xml:space="preserve"> al cabezal (m) </t>
    </r>
    <r>
      <rPr>
        <vertAlign val="subscript"/>
        <sz val="12"/>
        <rFont val="Times New Roman"/>
        <family val="1"/>
      </rPr>
      <t xml:space="preserve"> </t>
    </r>
    <r>
      <rPr>
        <sz val="12"/>
        <rFont val="Times New Roman"/>
        <family val="1"/>
      </rPr>
      <t>d</t>
    </r>
    <r>
      <rPr>
        <vertAlign val="subscript"/>
        <sz val="12"/>
        <rFont val="Times New Roman"/>
        <family val="1"/>
      </rPr>
      <t>f</t>
    </r>
  </si>
  <si>
    <r>
      <t>Distancia del punto a F</t>
    </r>
    <r>
      <rPr>
        <vertAlign val="subscript"/>
        <sz val="12"/>
        <rFont val="Times New Roman"/>
        <family val="1"/>
      </rPr>
      <t>t</t>
    </r>
    <r>
      <rPr>
        <sz val="12"/>
        <rFont val="Times New Roman"/>
        <family val="0"/>
      </rPr>
      <t xml:space="preserve"> (m) d</t>
    </r>
    <r>
      <rPr>
        <vertAlign val="subscript"/>
        <sz val="12"/>
        <rFont val="Times New Roman"/>
        <family val="1"/>
      </rPr>
      <t>t</t>
    </r>
  </si>
  <si>
    <r>
      <t>K</t>
    </r>
    <r>
      <rPr>
        <vertAlign val="subscript"/>
        <sz val="12"/>
        <color indexed="12"/>
        <rFont val="Times New Roman"/>
        <family val="1"/>
      </rPr>
      <t>t</t>
    </r>
    <r>
      <rPr>
        <sz val="12"/>
        <color indexed="12"/>
        <rFont val="Times New Roman"/>
        <family val="0"/>
      </rPr>
      <t xml:space="preserve"> = (10</t>
    </r>
    <r>
      <rPr>
        <vertAlign val="superscript"/>
        <sz val="12"/>
        <color indexed="12"/>
        <rFont val="Times New Roman"/>
        <family val="1"/>
      </rPr>
      <t>-6</t>
    </r>
    <r>
      <rPr>
        <sz val="12"/>
        <color indexed="12"/>
        <rFont val="Times New Roman"/>
        <family val="0"/>
      </rPr>
      <t>+10</t>
    </r>
    <r>
      <rPr>
        <vertAlign val="superscript"/>
        <sz val="12"/>
        <color indexed="12"/>
        <rFont val="Times New Roman"/>
        <family val="1"/>
      </rPr>
      <t>-2</t>
    </r>
    <r>
      <rPr>
        <sz val="12"/>
        <color indexed="12"/>
        <rFont val="Times New Roman"/>
        <family val="0"/>
      </rPr>
      <t>(Do/d</t>
    </r>
    <r>
      <rPr>
        <vertAlign val="subscript"/>
        <sz val="12"/>
        <color indexed="12"/>
        <rFont val="Times New Roman"/>
        <family val="1"/>
      </rPr>
      <t>f</t>
    </r>
    <r>
      <rPr>
        <vertAlign val="superscript"/>
        <sz val="12"/>
        <color indexed="12"/>
        <rFont val="Times New Roman"/>
        <family val="1"/>
      </rPr>
      <t>2</t>
    </r>
    <r>
      <rPr>
        <sz val="12"/>
        <color indexed="12"/>
        <rFont val="Times New Roman"/>
        <family val="1"/>
      </rPr>
      <t>.</t>
    </r>
    <r>
      <rPr>
        <sz val="12"/>
        <color indexed="12"/>
        <rFont val="Times New Roman"/>
        <family val="0"/>
      </rPr>
      <t>Dr)).F</t>
    </r>
    <r>
      <rPr>
        <vertAlign val="subscript"/>
        <sz val="12"/>
        <color indexed="12"/>
        <rFont val="Times New Roman"/>
        <family val="1"/>
      </rPr>
      <t>t</t>
    </r>
    <r>
      <rPr>
        <sz val="12"/>
        <color indexed="12"/>
        <rFont val="Times New Roman"/>
        <family val="0"/>
      </rPr>
      <t>/d</t>
    </r>
    <r>
      <rPr>
        <vertAlign val="subscript"/>
        <sz val="12"/>
        <color indexed="12"/>
        <rFont val="Times New Roman"/>
        <family val="1"/>
      </rPr>
      <t>t</t>
    </r>
    <r>
      <rPr>
        <vertAlign val="superscript"/>
        <sz val="12"/>
        <color indexed="12"/>
        <rFont val="Times New Roman"/>
        <family val="1"/>
      </rPr>
      <t>2</t>
    </r>
  </si>
  <si>
    <r>
      <t>d</t>
    </r>
    <r>
      <rPr>
        <vertAlign val="subscript"/>
        <sz val="12"/>
        <rFont val="Times New Roman"/>
        <family val="1"/>
      </rPr>
      <t>f</t>
    </r>
    <r>
      <rPr>
        <sz val="12"/>
        <rFont val="Times New Roman"/>
        <family val="0"/>
      </rPr>
      <t>:</t>
    </r>
  </si>
  <si>
    <t>Distancia de Ft al cabezal en m</t>
  </si>
  <si>
    <r>
      <t>Distancia mínima cabezal-barrera (m) d</t>
    </r>
    <r>
      <rPr>
        <vertAlign val="subscript"/>
        <sz val="12"/>
        <rFont val="Times New Roman"/>
        <family val="1"/>
      </rPr>
      <t>c</t>
    </r>
  </si>
  <si>
    <r>
      <t>K</t>
    </r>
    <r>
      <rPr>
        <vertAlign val="subscript"/>
        <sz val="12"/>
        <color indexed="12"/>
        <rFont val="Times New Roman"/>
        <family val="1"/>
      </rPr>
      <t>o</t>
    </r>
    <r>
      <rPr>
        <sz val="12"/>
        <color indexed="12"/>
        <rFont val="Times New Roman"/>
        <family val="1"/>
      </rPr>
      <t xml:space="preserve"> = (Do/Dr)/d</t>
    </r>
    <r>
      <rPr>
        <vertAlign val="subscript"/>
        <sz val="12"/>
        <color indexed="12"/>
        <rFont val="Times New Roman"/>
        <family val="1"/>
      </rPr>
      <t>c</t>
    </r>
    <r>
      <rPr>
        <vertAlign val="superscript"/>
        <sz val="12"/>
        <color indexed="12"/>
        <rFont val="Times New Roman"/>
        <family val="1"/>
      </rPr>
      <t>2</t>
    </r>
  </si>
  <si>
    <r>
      <t>d</t>
    </r>
    <r>
      <rPr>
        <vertAlign val="subscript"/>
        <sz val="12"/>
        <rFont val="Times New Roman"/>
        <family val="1"/>
      </rPr>
      <t>c</t>
    </r>
    <r>
      <rPr>
        <sz val="12"/>
        <rFont val="Times New Roman"/>
        <family val="0"/>
      </rPr>
      <t>:</t>
    </r>
  </si>
  <si>
    <t>Distancia mínima entre el cabezal y la barrera</t>
  </si>
  <si>
    <t>CDR RX  primaria y fuga Hormigón</t>
  </si>
  <si>
    <t>CDR RX primaria y fuga  Hormigón baritado</t>
  </si>
  <si>
    <t>CDR primaria y fuga Plomo</t>
  </si>
  <si>
    <t>2,3 g/cm3</t>
  </si>
  <si>
    <t>Horm</t>
  </si>
  <si>
    <t>CDR Hormigón baritado</t>
  </si>
  <si>
    <t>CDR Pb</t>
  </si>
  <si>
    <r>
      <t>2,3 g/cm</t>
    </r>
    <r>
      <rPr>
        <b/>
        <i/>
        <vertAlign val="superscript"/>
        <sz val="12"/>
        <color indexed="52"/>
        <rFont val="Times New Roman"/>
        <family val="1"/>
      </rPr>
      <t>3</t>
    </r>
  </si>
  <si>
    <r>
      <t>3,2 g/cm</t>
    </r>
    <r>
      <rPr>
        <b/>
        <i/>
        <vertAlign val="superscript"/>
        <sz val="12"/>
        <color indexed="52"/>
        <rFont val="Times New Roman"/>
        <family val="1"/>
      </rPr>
      <t>3</t>
    </r>
  </si>
  <si>
    <r>
      <t>11,3 g/cm</t>
    </r>
    <r>
      <rPr>
        <b/>
        <i/>
        <vertAlign val="superscript"/>
        <sz val="12"/>
        <color indexed="52"/>
        <rFont val="Times New Roman"/>
        <family val="1"/>
      </rPr>
      <t>3</t>
    </r>
  </si>
  <si>
    <t>CÁLCULO DE BLINDAJES PARA PUERTA</t>
  </si>
  <si>
    <t>PUERTA</t>
  </si>
  <si>
    <t>Parafina</t>
  </si>
  <si>
    <r>
      <t>1 g/cm</t>
    </r>
    <r>
      <rPr>
        <b/>
        <i/>
        <vertAlign val="superscript"/>
        <sz val="12"/>
        <color indexed="52"/>
        <rFont val="Times New Roman"/>
        <family val="1"/>
      </rPr>
      <t>3</t>
    </r>
  </si>
  <si>
    <r>
      <t>K</t>
    </r>
    <r>
      <rPr>
        <vertAlign val="subscript"/>
        <sz val="12"/>
        <color indexed="12"/>
        <rFont val="Times New Roman"/>
        <family val="1"/>
      </rPr>
      <t>d</t>
    </r>
    <r>
      <rPr>
        <sz val="12"/>
        <color indexed="12"/>
        <rFont val="Times New Roman"/>
        <family val="1"/>
      </rPr>
      <t xml:space="preserve"> = (Dn/Dr)/d</t>
    </r>
    <r>
      <rPr>
        <vertAlign val="subscript"/>
        <sz val="12"/>
        <color indexed="12"/>
        <rFont val="Times New Roman"/>
        <family val="1"/>
      </rPr>
      <t>c</t>
    </r>
  </si>
  <si>
    <t>LA</t>
  </si>
  <si>
    <t>Relación ancho/largo esclusa b/l</t>
  </si>
  <si>
    <t>Acelerador lineal 1</t>
  </si>
  <si>
    <t>Pasillo interno</t>
  </si>
  <si>
    <t>Libre acceso</t>
  </si>
  <si>
    <t>Altura sala: 3 m</t>
  </si>
  <si>
    <t>Espesor de la capa decimorreductora (CDR), en cm</t>
  </si>
  <si>
    <t>Pared A</t>
  </si>
  <si>
    <t>Pared A del bunker sobre la que incide el haz primario a 90º.</t>
  </si>
  <si>
    <t>Pared B del bunker sobre la que no incide el haz primario a 90º.</t>
  </si>
  <si>
    <t>Pared B</t>
  </si>
  <si>
    <t>Consulta médica</t>
  </si>
  <si>
    <t>Ejemplo de cálculo de blindajes para puerta</t>
  </si>
  <si>
    <t>Puesto de control</t>
  </si>
  <si>
    <t xml:space="preserve">Autores: </t>
  </si>
  <si>
    <t>Hospital Clínico Universitario "Lozano Blesa"</t>
  </si>
  <si>
    <t>Avda San Juan Bosco 15. 50009-Zaragoza</t>
  </si>
  <si>
    <t xml:space="preserve">Cálculo de blindajes para unidades de teleterapia con aceleradores lineales </t>
  </si>
  <si>
    <t>Ejemplo de cálculo de blindajes para barrera secundaria</t>
  </si>
  <si>
    <t>Ejemplo de cálculo de blindajes para barrera primaria</t>
  </si>
  <si>
    <t>Método de cálculo</t>
  </si>
  <si>
    <t>CÁLCULO DE DOSIS TRAS BARRERA SECUNDARIA DE ESPESOR CONOCIDO</t>
  </si>
  <si>
    <t>Control Nuevo</t>
  </si>
  <si>
    <t xml:space="preserve">KD2 </t>
  </si>
  <si>
    <t>Almacén Física</t>
  </si>
  <si>
    <t>Material</t>
  </si>
  <si>
    <t>Hormigón Barita</t>
  </si>
  <si>
    <t>Material barrera</t>
  </si>
  <si>
    <t>Espesor (cm)</t>
  </si>
  <si>
    <t>Dosis debida a  RX secundaria (mSv)</t>
  </si>
  <si>
    <t>Dosis debida a  RX terciaria (mSv)</t>
  </si>
  <si>
    <t>Dosis debida a  radiación de fuga (mSv)</t>
  </si>
  <si>
    <t>Dosis debida a  radiación directa neutrones (mSv)</t>
  </si>
  <si>
    <t>Dosis debida a  radiación dispersa neutrones (mSv)</t>
  </si>
  <si>
    <t>Dosis  total (mSv/semana)</t>
  </si>
  <si>
    <t>Neutrones directa</t>
  </si>
  <si>
    <t>1ªCDR</t>
  </si>
  <si>
    <t>2ªCDR</t>
  </si>
  <si>
    <t>H y HB</t>
  </si>
  <si>
    <t>Pb</t>
  </si>
  <si>
    <t>Neutrones dispersa</t>
  </si>
  <si>
    <t>Dosis debida a  RX directa (mSv)</t>
  </si>
  <si>
    <t>Dosis debida a frenado de electrones (mSv)</t>
  </si>
  <si>
    <t>Espesor parafina (cm)</t>
  </si>
  <si>
    <t>Espesor plomo (cm)</t>
  </si>
  <si>
    <t>CÁLCULO DE DOSIS TRAS BARRERA PRIMARIA DE ESPESOR CONOCIDO</t>
  </si>
  <si>
    <t>CÁLCULO DE DOSIS TRAS PUERTA DE BLINDAJE CONOCIDO</t>
  </si>
  <si>
    <t>pruizm@salud.aragon.es</t>
  </si>
  <si>
    <t>mrivasb@salud.aragon.es</t>
  </si>
  <si>
    <t xml:space="preserve"> Mª Angeles Rivas  Ballarín y Pedro Ruiz Manzano</t>
  </si>
  <si>
    <t>BPE</t>
  </si>
  <si>
    <t xml:space="preserve">Factor de calidad de neutrones dispersos (qi) </t>
  </si>
  <si>
    <t>BPE (cm)</t>
  </si>
  <si>
    <t>Dosis  total con parafina (mSv/semana)</t>
  </si>
  <si>
    <t>Dosis  total con BPE (mSv/semana)</t>
  </si>
  <si>
    <t>Dosis debida a  RX terciaria (mSv/sem)</t>
  </si>
  <si>
    <t>Dosis debida a  radiación dispersa neutrones parafina (mSv/sem)</t>
  </si>
  <si>
    <t>Dosis debida a  radiación dispersa neutrones BPE (mSv/sem)</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</si>
</sst>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E+00"/>
    <numFmt numFmtId="189" formatCode="0.E+00"/>
  </numFmts>
  <fonts count="45">
    <font>
      <sz val="12"/>
      <name val="Times New Roman"/>
      <family val="0"/>
    </font>
    <font>
      <sz val="12"/>
      <name val="Symbol"/>
      <family val="1"/>
    </font>
    <font>
      <vertAlign val="superscript"/>
      <sz val="12"/>
      <name val="Times New Roman"/>
      <family val="1"/>
    </font>
    <font>
      <vertAlign val="subscript"/>
      <sz val="12"/>
      <name val="Times New Roman"/>
      <family val="1"/>
    </font>
    <font>
      <b/>
      <sz val="12"/>
      <name val="Times New Roman"/>
      <family val="1"/>
    </font>
    <font>
      <sz val="10"/>
      <color indexed="10"/>
      <name val="Times New Roman"/>
      <family val="1"/>
    </font>
    <font>
      <sz val="12"/>
      <color indexed="12"/>
      <name val="Times New Roman"/>
      <family val="1"/>
    </font>
    <font>
      <b/>
      <sz val="12"/>
      <color indexed="12"/>
      <name val="Times New Roman"/>
      <family val="1"/>
    </font>
    <font>
      <sz val="10"/>
      <color indexed="53"/>
      <name val="Times New Roman"/>
      <family val="1"/>
    </font>
    <font>
      <sz val="14"/>
      <name val="Times New Roman"/>
      <family val="1"/>
    </font>
    <font>
      <vertAlign val="superscript"/>
      <sz val="12"/>
      <color indexed="12"/>
      <name val="Times New Roman"/>
      <family val="1"/>
    </font>
    <font>
      <vertAlign val="subscript"/>
      <sz val="12"/>
      <color indexed="12"/>
      <name val="Times New Roman"/>
      <family val="1"/>
    </font>
    <font>
      <u val="single"/>
      <sz val="12"/>
      <color indexed="12"/>
      <name val="Times New Roman"/>
      <family val="1"/>
    </font>
    <font>
      <sz val="8"/>
      <name val="Tahoma"/>
      <family val="0"/>
    </font>
    <font>
      <b/>
      <sz val="8"/>
      <name val="Tahoma"/>
      <family val="0"/>
    </font>
    <font>
      <b/>
      <i/>
      <sz val="12"/>
      <name val="Times New Roman"/>
      <family val="1"/>
    </font>
    <font>
      <b/>
      <i/>
      <vertAlign val="subscript"/>
      <sz val="12"/>
      <name val="Times New Roman"/>
      <family val="1"/>
    </font>
    <font>
      <b/>
      <i/>
      <sz val="12"/>
      <color indexed="12"/>
      <name val="Times New Roman"/>
      <family val="1"/>
    </font>
    <font>
      <sz val="12"/>
      <color indexed="52"/>
      <name val="Times New Roman"/>
      <family val="1"/>
    </font>
    <font>
      <b/>
      <i/>
      <sz val="12"/>
      <color indexed="52"/>
      <name val="Times New Roman"/>
      <family val="1"/>
    </font>
    <font>
      <b/>
      <i/>
      <vertAlign val="superscript"/>
      <sz val="12"/>
      <color indexed="52"/>
      <name val="Times New Roman"/>
      <family val="1"/>
    </font>
    <font>
      <b/>
      <sz val="12"/>
      <color indexed="10"/>
      <name val="Times New Roman"/>
      <family val="1"/>
    </font>
    <font>
      <sz val="12"/>
      <color indexed="10"/>
      <name val="Times New Roman"/>
      <family val="1"/>
    </font>
    <font>
      <b/>
      <sz val="14"/>
      <color indexed="12"/>
      <name val="Times New Roman"/>
      <family val="1"/>
    </font>
    <font>
      <sz val="10"/>
      <name val="Times New Roman"/>
      <family val="1"/>
    </font>
    <font>
      <b/>
      <sz val="10"/>
      <name val="Times New Roman"/>
      <family val="1"/>
    </font>
    <font>
      <sz val="11"/>
      <name val="Times New Roman"/>
      <family val="1"/>
    </font>
    <font>
      <vertAlign val="subscript"/>
      <sz val="11"/>
      <name val="Times New Roman"/>
      <family val="1"/>
    </font>
    <font>
      <vertAlign val="subscript"/>
      <sz val="8"/>
      <name val="Tahoma"/>
      <family val="2"/>
    </font>
    <font>
      <vertAlign val="subscript"/>
      <sz val="10"/>
      <name val="Times New Roman"/>
      <family val="1"/>
    </font>
    <font>
      <b/>
      <sz val="10"/>
      <color indexed="58"/>
      <name val="Times New Roman"/>
      <family val="1"/>
    </font>
    <font>
      <sz val="12"/>
      <color indexed="13"/>
      <name val="Times New Roman"/>
      <family val="1"/>
    </font>
    <font>
      <b/>
      <u val="single"/>
      <sz val="16"/>
      <color indexed="12"/>
      <name val="Comic Sans MS"/>
      <family val="4"/>
    </font>
    <font>
      <sz val="12"/>
      <color indexed="9"/>
      <name val="Times New Roman"/>
      <family val="0"/>
    </font>
    <font>
      <sz val="12"/>
      <color indexed="9"/>
      <name val="Comic Sans MS"/>
      <family val="4"/>
    </font>
    <font>
      <sz val="8"/>
      <color indexed="52"/>
      <name val="Times New Roman"/>
      <family val="0"/>
    </font>
    <font>
      <sz val="12"/>
      <color indexed="53"/>
      <name val="Times New Roman"/>
      <family val="1"/>
    </font>
    <font>
      <sz val="12"/>
      <color indexed="13"/>
      <name val="Comic Sans MS"/>
      <family val="4"/>
    </font>
    <font>
      <u val="single"/>
      <sz val="12"/>
      <color indexed="36"/>
      <name val="Times New Roman"/>
      <family val="0"/>
    </font>
    <font>
      <b/>
      <sz val="18"/>
      <color indexed="12"/>
      <name val="Comic Sans MS"/>
      <family val="4"/>
    </font>
    <font>
      <sz val="12"/>
      <color indexed="12"/>
      <name val="Comic Sans MS"/>
      <family val="4"/>
    </font>
    <font>
      <b/>
      <sz val="12"/>
      <color indexed="12"/>
      <name val="Comic Sans MS"/>
      <family val="4"/>
    </font>
    <font>
      <b/>
      <sz val="12"/>
      <color indexed="52"/>
      <name val="Times New Roman"/>
      <family val="1"/>
    </font>
    <font>
      <b/>
      <sz val="12"/>
      <color indexed="53"/>
      <name val="Times New Roman"/>
      <family val="1"/>
    </font>
    <font>
      <b/>
      <sz val="8"/>
      <name val="Times New Roman"/>
      <family val="2"/>
    </font>
  </fonts>
  <fills count="12">
    <fill>
      <patternFill/>
    </fill>
    <fill>
      <patternFill patternType="gray125"/>
    </fill>
    <fill>
      <patternFill patternType="solid">
        <fgColor indexed="41"/>
        <bgColor indexed="64"/>
      </patternFill>
    </fill>
    <fill>
      <patternFill patternType="mediumGray">
        <fgColor indexed="9"/>
      </patternFill>
    </fill>
    <fill>
      <patternFill patternType="solid">
        <fgColor indexed="47"/>
        <bgColor indexed="64"/>
      </patternFill>
    </fill>
    <fill>
      <patternFill patternType="solid">
        <fgColor indexed="42"/>
        <bgColor indexed="64"/>
      </patternFill>
    </fill>
    <fill>
      <patternFill patternType="solid">
        <fgColor indexed="14"/>
        <bgColor indexed="64"/>
      </patternFill>
    </fill>
    <fill>
      <patternFill patternType="solid">
        <fgColor indexed="51"/>
        <bgColor indexed="64"/>
      </patternFill>
    </fill>
    <fill>
      <patternFill patternType="solid">
        <fgColor indexed="45"/>
        <bgColor indexed="64"/>
      </patternFill>
    </fill>
    <fill>
      <patternFill patternType="solid">
        <fgColor indexed="22"/>
        <bgColor indexed="64"/>
      </patternFill>
    </fill>
    <fill>
      <patternFill patternType="solid">
        <fgColor indexed="40"/>
        <bgColor indexed="64"/>
      </patternFill>
    </fill>
    <fill>
      <patternFill patternType="solid">
        <fgColor indexed="41"/>
        <bgColor indexed="64"/>
      </patternFill>
    </fill>
  </fills>
  <borders count="14">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82">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0" xfId="0" applyBorder="1" applyAlignment="1">
      <alignment horizontal="center"/>
    </xf>
    <xf numFmtId="0" fontId="0" fillId="0" borderId="0" xfId="0" applyAlignment="1">
      <alignment/>
    </xf>
    <xf numFmtId="0" fontId="0" fillId="0" borderId="0" xfId="0" applyAlignment="1" applyProtection="1">
      <alignment/>
      <protection hidden="1"/>
    </xf>
    <xf numFmtId="0" fontId="0" fillId="0" borderId="1" xfId="0" applyBorder="1" applyAlignment="1" applyProtection="1">
      <alignment/>
      <protection hidden="1"/>
    </xf>
    <xf numFmtId="0" fontId="0" fillId="0" borderId="0" xfId="0" applyBorder="1" applyAlignment="1" applyProtection="1">
      <alignment/>
      <protection hidden="1"/>
    </xf>
    <xf numFmtId="0" fontId="0" fillId="0" borderId="0" xfId="0" applyAlignment="1" applyProtection="1">
      <alignment/>
      <protection hidden="1" locked="0"/>
    </xf>
    <xf numFmtId="0" fontId="0" fillId="0" borderId="1" xfId="0" applyBorder="1" applyAlignment="1" applyProtection="1">
      <alignment/>
      <protection hidden="1" locked="0"/>
    </xf>
    <xf numFmtId="0" fontId="0" fillId="0" borderId="1" xfId="0" applyFont="1" applyBorder="1" applyAlignment="1" applyProtection="1">
      <alignment/>
      <protection hidden="1" locked="0"/>
    </xf>
    <xf numFmtId="0" fontId="6" fillId="0" borderId="0" xfId="0" applyFont="1" applyBorder="1" applyAlignment="1">
      <alignment horizontal="center"/>
    </xf>
    <xf numFmtId="0" fontId="0" fillId="0" borderId="0" xfId="0" applyBorder="1" applyAlignment="1">
      <alignment horizontal="left"/>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1" fillId="0" borderId="0" xfId="0" applyFont="1" applyBorder="1" applyAlignment="1">
      <alignment horizontal="center"/>
    </xf>
    <xf numFmtId="0" fontId="0" fillId="0" borderId="0" xfId="0" applyBorder="1" applyAlignment="1">
      <alignment/>
    </xf>
    <xf numFmtId="0" fontId="8" fillId="0" borderId="0" xfId="0" applyFont="1" applyBorder="1" applyAlignment="1">
      <alignment/>
    </xf>
    <xf numFmtId="0" fontId="9" fillId="0" borderId="0" xfId="0" applyFont="1" applyAlignment="1">
      <alignment/>
    </xf>
    <xf numFmtId="0" fontId="0" fillId="0" borderId="0" xfId="0" applyFont="1" applyBorder="1" applyAlignment="1">
      <alignment horizontal="left"/>
    </xf>
    <xf numFmtId="14" fontId="0" fillId="2" borderId="2" xfId="0" applyNumberFormat="1" applyFill="1" applyBorder="1" applyAlignment="1" applyProtection="1">
      <alignment horizontal="left"/>
      <protection locked="0"/>
    </xf>
    <xf numFmtId="0" fontId="0" fillId="0" borderId="0" xfId="0" applyAlignment="1">
      <alignment horizontal="left"/>
    </xf>
    <xf numFmtId="0" fontId="5" fillId="0" borderId="0" xfId="0" applyFont="1" applyAlignment="1">
      <alignment horizontal="left" wrapText="1"/>
    </xf>
    <xf numFmtId="0" fontId="6" fillId="2" borderId="0" xfId="0" applyFont="1" applyFill="1" applyBorder="1" applyAlignment="1">
      <alignment horizontal="left"/>
    </xf>
    <xf numFmtId="0" fontId="6" fillId="0" borderId="0" xfId="0" applyFont="1" applyFill="1" applyBorder="1" applyAlignment="1">
      <alignment horizontal="left"/>
    </xf>
    <xf numFmtId="0" fontId="15" fillId="0" borderId="0" xfId="0" applyFont="1" applyAlignment="1">
      <alignment/>
    </xf>
    <xf numFmtId="0" fontId="17" fillId="0" borderId="0" xfId="0" applyFont="1" applyFill="1" applyBorder="1" applyAlignment="1">
      <alignment/>
    </xf>
    <xf numFmtId="0" fontId="6" fillId="0" borderId="0" xfId="0" applyFont="1" applyFill="1" applyBorder="1" applyAlignment="1">
      <alignment/>
    </xf>
    <xf numFmtId="0" fontId="0" fillId="3" borderId="0" xfId="0" applyFill="1" applyBorder="1" applyAlignment="1">
      <alignment horizontal="left"/>
    </xf>
    <xf numFmtId="0" fontId="0" fillId="0" borderId="0" xfId="0" applyFill="1" applyBorder="1" applyAlignment="1" applyProtection="1">
      <alignment horizontal="center"/>
      <protection locked="0"/>
    </xf>
    <xf numFmtId="188" fontId="0" fillId="2" borderId="2" xfId="0" applyNumberFormat="1" applyFill="1" applyBorder="1" applyAlignment="1" applyProtection="1">
      <alignment horizontal="center"/>
      <protection locked="0"/>
    </xf>
    <xf numFmtId="186" fontId="0" fillId="0" borderId="0" xfId="0" applyNumberFormat="1" applyAlignment="1">
      <alignment/>
    </xf>
    <xf numFmtId="1" fontId="0" fillId="0" borderId="0" xfId="0" applyNumberFormat="1" applyAlignment="1">
      <alignment/>
    </xf>
    <xf numFmtId="1" fontId="0" fillId="0" borderId="0" xfId="0" applyNumberFormat="1" applyAlignment="1">
      <alignment horizontal="left" indent="1"/>
    </xf>
    <xf numFmtId="1" fontId="4" fillId="0" borderId="0" xfId="0" applyNumberFormat="1" applyFont="1" applyAlignment="1">
      <alignment/>
    </xf>
    <xf numFmtId="1" fontId="0" fillId="0" borderId="0" xfId="0" applyNumberFormat="1" applyAlignment="1" applyProtection="1">
      <alignment/>
      <protection hidden="1"/>
    </xf>
    <xf numFmtId="0" fontId="18" fillId="0" borderId="0" xfId="0" applyFont="1" applyBorder="1" applyAlignment="1">
      <alignment/>
    </xf>
    <xf numFmtId="0" fontId="19" fillId="0" borderId="0" xfId="0" applyFont="1" applyBorder="1" applyAlignment="1">
      <alignment horizontal="center"/>
    </xf>
    <xf numFmtId="0" fontId="19" fillId="0" borderId="0" xfId="0" applyFont="1" applyAlignment="1">
      <alignment horizontal="center"/>
    </xf>
    <xf numFmtId="0" fontId="18" fillId="0" borderId="0" xfId="0" applyFont="1" applyAlignment="1">
      <alignment/>
    </xf>
    <xf numFmtId="0" fontId="18" fillId="0" borderId="0" xfId="0" applyFont="1" applyAlignment="1" applyProtection="1">
      <alignment/>
      <protection hidden="1"/>
    </xf>
    <xf numFmtId="0" fontId="22" fillId="0" borderId="0" xfId="0" applyFont="1" applyAlignment="1">
      <alignment/>
    </xf>
    <xf numFmtId="1" fontId="18" fillId="0" borderId="0" xfId="0" applyNumberFormat="1" applyFont="1" applyAlignment="1" applyProtection="1">
      <alignment horizontal="center"/>
      <protection hidden="1"/>
    </xf>
    <xf numFmtId="1" fontId="21" fillId="0" borderId="0" xfId="0" applyNumberFormat="1" applyFont="1" applyAlignment="1" applyProtection="1">
      <alignment horizontal="center"/>
      <protection hidden="1"/>
    </xf>
    <xf numFmtId="0" fontId="22" fillId="0" borderId="0" xfId="0" applyFont="1" applyBorder="1" applyAlignment="1">
      <alignment/>
    </xf>
    <xf numFmtId="1" fontId="22" fillId="0" borderId="0" xfId="0" applyNumberFormat="1" applyFont="1" applyAlignment="1" applyProtection="1">
      <alignment horizontal="center"/>
      <protection hidden="1"/>
    </xf>
    <xf numFmtId="2" fontId="0" fillId="0" borderId="0" xfId="0" applyNumberFormat="1" applyAlignment="1">
      <alignment/>
    </xf>
    <xf numFmtId="1" fontId="0" fillId="0" borderId="0" xfId="0" applyNumberFormat="1" applyFont="1" applyAlignment="1">
      <alignment/>
    </xf>
    <xf numFmtId="187" fontId="21" fillId="0" borderId="0" xfId="0" applyNumberFormat="1" applyFont="1" applyAlignment="1" applyProtection="1">
      <alignment horizontal="center"/>
      <protection hidden="1"/>
    </xf>
    <xf numFmtId="187" fontId="18" fillId="0" borderId="0" xfId="0" applyNumberFormat="1" applyFont="1" applyAlignment="1" applyProtection="1">
      <alignment horizontal="center"/>
      <protection hidden="1"/>
    </xf>
    <xf numFmtId="187" fontId="18" fillId="0" borderId="0" xfId="0" applyNumberFormat="1" applyFont="1" applyAlignment="1" applyProtection="1">
      <alignment/>
      <protection hidden="1"/>
    </xf>
    <xf numFmtId="0" fontId="4" fillId="0" borderId="0" xfId="0" applyFont="1" applyBorder="1" applyAlignment="1">
      <alignment/>
    </xf>
    <xf numFmtId="0" fontId="23" fillId="0" borderId="0" xfId="0" applyFont="1" applyAlignment="1">
      <alignment horizontal="center"/>
    </xf>
    <xf numFmtId="0" fontId="0" fillId="2" borderId="4" xfId="0" applyFill="1" applyBorder="1" applyAlignment="1" applyProtection="1">
      <alignment horizontal="center"/>
      <protection locked="0"/>
    </xf>
    <xf numFmtId="0" fontId="0" fillId="4" borderId="0" xfId="0" applyFont="1" applyFill="1" applyBorder="1" applyAlignment="1" applyProtection="1">
      <alignment horizontal="center"/>
      <protection locked="0"/>
    </xf>
    <xf numFmtId="0" fontId="0" fillId="2" borderId="2" xfId="0" applyFont="1" applyFill="1" applyBorder="1" applyAlignment="1" applyProtection="1">
      <alignment horizontal="center"/>
      <protection locked="0"/>
    </xf>
    <xf numFmtId="0" fontId="0" fillId="2" borderId="4"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1" fontId="18" fillId="5" borderId="5" xfId="0" applyNumberFormat="1" applyFont="1" applyFill="1" applyBorder="1" applyAlignment="1" applyProtection="1">
      <alignment horizontal="center"/>
      <protection hidden="1"/>
    </xf>
    <xf numFmtId="1" fontId="18" fillId="5" borderId="6" xfId="0" applyNumberFormat="1" applyFont="1" applyFill="1" applyBorder="1" applyAlignment="1" applyProtection="1">
      <alignment horizontal="center"/>
      <protection hidden="1"/>
    </xf>
    <xf numFmtId="1" fontId="18" fillId="5" borderId="7" xfId="0" applyNumberFormat="1" applyFont="1" applyFill="1" applyBorder="1" applyAlignment="1" applyProtection="1">
      <alignment horizontal="center"/>
      <protection hidden="1"/>
    </xf>
    <xf numFmtId="0" fontId="0" fillId="5" borderId="0" xfId="0" applyFill="1" applyAlignment="1" applyProtection="1">
      <alignment/>
      <protection hidden="1" locked="0"/>
    </xf>
    <xf numFmtId="0" fontId="0" fillId="5" borderId="0" xfId="0" applyFill="1" applyAlignment="1">
      <alignment/>
    </xf>
    <xf numFmtId="0" fontId="0" fillId="5" borderId="1" xfId="0" applyFill="1" applyBorder="1" applyAlignment="1" applyProtection="1">
      <alignment/>
      <protection hidden="1" locked="0"/>
    </xf>
    <xf numFmtId="0" fontId="0" fillId="5" borderId="1" xfId="0" applyFill="1" applyBorder="1" applyAlignment="1">
      <alignment/>
    </xf>
    <xf numFmtId="0" fontId="0" fillId="5" borderId="1" xfId="0" applyFont="1" applyFill="1" applyBorder="1" applyAlignment="1" applyProtection="1">
      <alignment/>
      <protection hidden="1" locked="0"/>
    </xf>
    <xf numFmtId="0" fontId="0" fillId="5" borderId="1" xfId="0" applyFill="1" applyBorder="1" applyAlignment="1" applyProtection="1">
      <alignment/>
      <protection hidden="1"/>
    </xf>
    <xf numFmtId="0" fontId="31" fillId="0" borderId="0" xfId="0" applyFont="1" applyAlignment="1">
      <alignment/>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horizontal="left"/>
      <protection/>
    </xf>
    <xf numFmtId="14" fontId="0" fillId="2" borderId="2" xfId="0" applyNumberFormat="1" applyFill="1" applyBorder="1" applyAlignment="1" applyProtection="1">
      <alignment horizontal="left"/>
      <protection/>
    </xf>
    <xf numFmtId="0" fontId="0" fillId="0" borderId="0" xfId="0" applyAlignment="1" applyProtection="1">
      <alignment horizontal="left"/>
      <protection/>
    </xf>
    <xf numFmtId="0" fontId="8" fillId="0" borderId="0" xfId="0" applyFont="1" applyBorder="1" applyAlignment="1" applyProtection="1">
      <alignment/>
      <protection/>
    </xf>
    <xf numFmtId="0" fontId="6" fillId="0" borderId="0" xfId="0" applyFont="1" applyBorder="1" applyAlignment="1" applyProtection="1">
      <alignment horizontal="center"/>
      <protection/>
    </xf>
    <xf numFmtId="0" fontId="0" fillId="0" borderId="0" xfId="0" applyFill="1" applyBorder="1" applyAlignment="1" applyProtection="1">
      <alignment horizontal="center"/>
      <protection/>
    </xf>
    <xf numFmtId="0" fontId="0" fillId="2" borderId="2" xfId="0" applyFill="1" applyBorder="1" applyAlignment="1" applyProtection="1">
      <alignment horizontal="center"/>
      <protection/>
    </xf>
    <xf numFmtId="0" fontId="0" fillId="2" borderId="3" xfId="0" applyFill="1" applyBorder="1" applyAlignment="1" applyProtection="1">
      <alignment horizontal="center"/>
      <protection/>
    </xf>
    <xf numFmtId="0" fontId="0" fillId="3" borderId="0" xfId="0" applyFill="1" applyBorder="1" applyAlignment="1" applyProtection="1">
      <alignment horizontal="left"/>
      <protection/>
    </xf>
    <xf numFmtId="0" fontId="0" fillId="0" borderId="0" xfId="0" applyBorder="1" applyAlignment="1" applyProtection="1">
      <alignment horizontal="center"/>
      <protection/>
    </xf>
    <xf numFmtId="188" fontId="0" fillId="2" borderId="2" xfId="0" applyNumberFormat="1" applyFill="1" applyBorder="1" applyAlignment="1" applyProtection="1">
      <alignment horizontal="center"/>
      <protection/>
    </xf>
    <xf numFmtId="0" fontId="1" fillId="0" borderId="0" xfId="0" applyFont="1" applyBorder="1" applyAlignment="1" applyProtection="1">
      <alignment horizontal="center"/>
      <protection/>
    </xf>
    <xf numFmtId="0" fontId="0" fillId="4" borderId="3" xfId="0" applyFill="1" applyBorder="1" applyAlignment="1" applyProtection="1">
      <alignment horizontal="center"/>
      <protection/>
    </xf>
    <xf numFmtId="0" fontId="0" fillId="0" borderId="0" xfId="0" applyFont="1" applyBorder="1" applyAlignment="1" applyProtection="1">
      <alignment horizontal="left"/>
      <protection/>
    </xf>
    <xf numFmtId="0" fontId="0" fillId="4" borderId="2" xfId="0" applyFill="1" applyBorder="1" applyAlignment="1" applyProtection="1">
      <alignment horizontal="center"/>
      <protection/>
    </xf>
    <xf numFmtId="0" fontId="22" fillId="0" borderId="0" xfId="0" applyFont="1" applyBorder="1" applyAlignment="1" applyProtection="1">
      <alignment/>
      <protection/>
    </xf>
    <xf numFmtId="0" fontId="19" fillId="0" borderId="0" xfId="0" applyFont="1" applyBorder="1" applyAlignment="1" applyProtection="1">
      <alignment horizontal="center"/>
      <protection/>
    </xf>
    <xf numFmtId="0" fontId="19" fillId="0" borderId="0" xfId="0" applyFont="1" applyAlignment="1" applyProtection="1">
      <alignment horizontal="center"/>
      <protection/>
    </xf>
    <xf numFmtId="0" fontId="18" fillId="0" borderId="0" xfId="0" applyFont="1" applyAlignment="1" applyProtection="1">
      <alignment/>
      <protection/>
    </xf>
    <xf numFmtId="0" fontId="22" fillId="0" borderId="0" xfId="0" applyFont="1" applyAlignment="1" applyProtection="1">
      <alignment/>
      <protection/>
    </xf>
    <xf numFmtId="1" fontId="21" fillId="0" borderId="0" xfId="0" applyNumberFormat="1" applyFont="1" applyAlignment="1" applyProtection="1">
      <alignment horizontal="center"/>
      <protection/>
    </xf>
    <xf numFmtId="0" fontId="23" fillId="0" borderId="0" xfId="0" applyFont="1" applyAlignment="1" applyProtection="1">
      <alignment horizontal="center"/>
      <protection/>
    </xf>
    <xf numFmtId="0" fontId="4" fillId="0" borderId="0" xfId="0" applyFont="1" applyBorder="1" applyAlignment="1" applyProtection="1">
      <alignment/>
      <protection/>
    </xf>
    <xf numFmtId="0" fontId="0" fillId="4" borderId="2" xfId="0" applyFont="1" applyFill="1" applyBorder="1" applyAlignment="1" applyProtection="1">
      <alignment horizontal="center"/>
      <protection/>
    </xf>
    <xf numFmtId="0" fontId="18" fillId="0" borderId="0" xfId="0" applyFont="1" applyBorder="1" applyAlignment="1" applyProtection="1">
      <alignment/>
      <protection/>
    </xf>
    <xf numFmtId="0" fontId="0" fillId="0" borderId="0" xfId="0" applyFill="1" applyBorder="1" applyAlignment="1">
      <alignment/>
    </xf>
    <xf numFmtId="0" fontId="35" fillId="4" borderId="0" xfId="0" applyFont="1" applyFill="1" applyAlignment="1">
      <alignment/>
    </xf>
    <xf numFmtId="0" fontId="24" fillId="6" borderId="0" xfId="0" applyFont="1" applyFill="1" applyAlignment="1">
      <alignment/>
    </xf>
    <xf numFmtId="0" fontId="0" fillId="6" borderId="0" xfId="0" applyFill="1" applyAlignment="1">
      <alignment/>
    </xf>
    <xf numFmtId="0" fontId="18" fillId="4" borderId="0" xfId="0" applyFont="1" applyFill="1" applyAlignment="1">
      <alignment/>
    </xf>
    <xf numFmtId="0" fontId="0" fillId="7" borderId="0" xfId="0" applyFill="1" applyAlignment="1">
      <alignment/>
    </xf>
    <xf numFmtId="0" fontId="0" fillId="7" borderId="0" xfId="0" applyFill="1" applyBorder="1" applyAlignment="1" applyProtection="1">
      <alignment horizontal="center"/>
      <protection locked="0"/>
    </xf>
    <xf numFmtId="186" fontId="22" fillId="0" borderId="0" xfId="0" applyNumberFormat="1" applyFont="1" applyAlignment="1" applyProtection="1">
      <alignment horizontal="center"/>
      <protection hidden="1"/>
    </xf>
    <xf numFmtId="0" fontId="0" fillId="8" borderId="0" xfId="0" applyFill="1" applyAlignment="1">
      <alignment/>
    </xf>
    <xf numFmtId="186" fontId="0" fillId="7" borderId="0" xfId="0" applyNumberFormat="1" applyFill="1" applyAlignment="1">
      <alignment/>
    </xf>
    <xf numFmtId="0" fontId="18" fillId="0" borderId="8" xfId="0" applyFont="1" applyBorder="1" applyAlignment="1">
      <alignment/>
    </xf>
    <xf numFmtId="0" fontId="18" fillId="0" borderId="9" xfId="0" applyFont="1" applyBorder="1" applyAlignment="1" applyProtection="1">
      <alignment/>
      <protection hidden="1"/>
    </xf>
    <xf numFmtId="0" fontId="24" fillId="8" borderId="0" xfId="0" applyFont="1" applyFill="1" applyAlignment="1">
      <alignment/>
    </xf>
    <xf numFmtId="0" fontId="25" fillId="8" borderId="0" xfId="0" applyFont="1" applyFill="1" applyAlignment="1">
      <alignment/>
    </xf>
    <xf numFmtId="0" fontId="25" fillId="8" borderId="0" xfId="0" applyFont="1" applyFill="1" applyAlignment="1">
      <alignment horizontal="center"/>
    </xf>
    <xf numFmtId="0" fontId="7" fillId="0" borderId="0" xfId="0" applyFont="1" applyBorder="1" applyAlignment="1">
      <alignment/>
    </xf>
    <xf numFmtId="2" fontId="0" fillId="7" borderId="0" xfId="0" applyNumberFormat="1" applyFill="1" applyAlignment="1">
      <alignment/>
    </xf>
    <xf numFmtId="0" fontId="36" fillId="0" borderId="10" xfId="0" applyFont="1" applyBorder="1" applyAlignment="1">
      <alignment/>
    </xf>
    <xf numFmtId="0" fontId="36" fillId="0" borderId="4" xfId="0" applyFont="1" applyBorder="1" applyAlignment="1">
      <alignment/>
    </xf>
    <xf numFmtId="2" fontId="36" fillId="0" borderId="11" xfId="0" applyNumberFormat="1" applyFont="1" applyBorder="1" applyAlignment="1" applyProtection="1">
      <alignment horizontal="center"/>
      <protection hidden="1"/>
    </xf>
    <xf numFmtId="0" fontId="36" fillId="0" borderId="8" xfId="0" applyFont="1" applyBorder="1" applyAlignment="1">
      <alignment/>
    </xf>
    <xf numFmtId="0" fontId="36" fillId="0" borderId="0" xfId="0" applyFont="1" applyBorder="1" applyAlignment="1">
      <alignment/>
    </xf>
    <xf numFmtId="2" fontId="36" fillId="0" borderId="9" xfId="0" applyNumberFormat="1" applyFont="1" applyBorder="1" applyAlignment="1" applyProtection="1">
      <alignment horizontal="center"/>
      <protection hidden="1"/>
    </xf>
    <xf numFmtId="0" fontId="0" fillId="9" borderId="12" xfId="0" applyFont="1" applyFill="1" applyBorder="1" applyAlignment="1">
      <alignment/>
    </xf>
    <xf numFmtId="0" fontId="0" fillId="9" borderId="2" xfId="0" applyFont="1" applyFill="1" applyBorder="1" applyAlignment="1">
      <alignment/>
    </xf>
    <xf numFmtId="2" fontId="4" fillId="9" borderId="13" xfId="0" applyNumberFormat="1" applyFont="1" applyFill="1" applyBorder="1" applyAlignment="1" applyProtection="1">
      <alignment horizontal="center"/>
      <protection hidden="1"/>
    </xf>
    <xf numFmtId="186" fontId="36" fillId="0" borderId="11" xfId="0" applyNumberFormat="1" applyFont="1" applyBorder="1" applyAlignment="1" applyProtection="1">
      <alignment horizontal="center"/>
      <protection hidden="1"/>
    </xf>
    <xf numFmtId="186" fontId="36" fillId="0" borderId="9" xfId="0" applyNumberFormat="1" applyFont="1" applyBorder="1" applyAlignment="1" applyProtection="1">
      <alignment horizontal="center"/>
      <protection hidden="1"/>
    </xf>
    <xf numFmtId="0" fontId="0" fillId="6" borderId="0" xfId="0" applyFill="1" applyAlignment="1" applyProtection="1">
      <alignment/>
      <protection locked="0"/>
    </xf>
    <xf numFmtId="0" fontId="0" fillId="7" borderId="0" xfId="0" applyFill="1" applyAlignment="1" applyProtection="1">
      <alignment/>
      <protection locked="0"/>
    </xf>
    <xf numFmtId="0" fontId="33" fillId="10" borderId="10" xfId="0" applyFont="1" applyFill="1" applyBorder="1" applyAlignment="1">
      <alignment/>
    </xf>
    <xf numFmtId="0" fontId="33" fillId="10" borderId="4" xfId="0" applyFont="1" applyFill="1" applyBorder="1" applyAlignment="1">
      <alignment/>
    </xf>
    <xf numFmtId="0" fontId="34" fillId="10" borderId="0" xfId="0" applyFont="1" applyFill="1" applyBorder="1" applyAlignment="1">
      <alignment/>
    </xf>
    <xf numFmtId="0" fontId="33" fillId="10" borderId="0" xfId="0" applyFont="1" applyFill="1" applyBorder="1" applyAlignment="1">
      <alignment/>
    </xf>
    <xf numFmtId="0" fontId="0" fillId="10" borderId="0" xfId="0" applyFill="1" applyBorder="1" applyAlignment="1">
      <alignment/>
    </xf>
    <xf numFmtId="0" fontId="12" fillId="10" borderId="0" xfId="15" applyFill="1" applyBorder="1" applyAlignment="1">
      <alignment/>
    </xf>
    <xf numFmtId="0" fontId="0" fillId="10" borderId="2" xfId="0" applyFill="1" applyBorder="1" applyAlignment="1">
      <alignment/>
    </xf>
    <xf numFmtId="0" fontId="12" fillId="10" borderId="2" xfId="15" applyFill="1" applyBorder="1" applyAlignment="1">
      <alignment/>
    </xf>
    <xf numFmtId="0" fontId="33" fillId="10" borderId="2" xfId="0" applyFont="1" applyFill="1" applyBorder="1" applyAlignment="1">
      <alignment/>
    </xf>
    <xf numFmtId="0" fontId="37" fillId="10" borderId="2" xfId="0" applyFont="1" applyFill="1" applyBorder="1" applyAlignment="1">
      <alignment/>
    </xf>
    <xf numFmtId="0" fontId="12" fillId="10" borderId="0" xfId="0" applyFont="1" applyFill="1" applyBorder="1" applyAlignment="1">
      <alignment horizontal="center"/>
    </xf>
    <xf numFmtId="0" fontId="12" fillId="10" borderId="4" xfId="0" applyFont="1" applyFill="1" applyBorder="1" applyAlignment="1">
      <alignment horizontal="center"/>
    </xf>
    <xf numFmtId="0" fontId="0" fillId="10" borderId="11" xfId="0" applyFill="1" applyBorder="1" applyAlignment="1">
      <alignment/>
    </xf>
    <xf numFmtId="0" fontId="0" fillId="10" borderId="9" xfId="0" applyFill="1" applyBorder="1" applyAlignment="1">
      <alignment/>
    </xf>
    <xf numFmtId="0" fontId="0" fillId="10" borderId="9" xfId="0" applyFill="1" applyBorder="1" applyAlignment="1">
      <alignment/>
    </xf>
    <xf numFmtId="0" fontId="0" fillId="10" borderId="8" xfId="0" applyFill="1" applyBorder="1" applyAlignment="1">
      <alignment/>
    </xf>
    <xf numFmtId="0" fontId="0" fillId="10" borderId="12" xfId="0" applyFill="1" applyBorder="1" applyAlignment="1">
      <alignment/>
    </xf>
    <xf numFmtId="0" fontId="0" fillId="10" borderId="13" xfId="0" applyFill="1" applyBorder="1" applyAlignment="1">
      <alignment/>
    </xf>
    <xf numFmtId="0" fontId="42" fillId="0" borderId="0" xfId="0" applyFont="1" applyAlignment="1" applyProtection="1">
      <alignment horizontal="center"/>
      <protection hidden="1"/>
    </xf>
    <xf numFmtId="0" fontId="40" fillId="10" borderId="8" xfId="0" applyFont="1" applyFill="1" applyBorder="1" applyAlignment="1">
      <alignment/>
    </xf>
    <xf numFmtId="0" fontId="41" fillId="10" borderId="0" xfId="0" applyFont="1" applyFill="1" applyBorder="1" applyAlignment="1">
      <alignment/>
    </xf>
    <xf numFmtId="0" fontId="7" fillId="10" borderId="0" xfId="0" applyFont="1" applyFill="1" applyBorder="1" applyAlignment="1">
      <alignment/>
    </xf>
    <xf numFmtId="0" fontId="40" fillId="10" borderId="0" xfId="0" applyFont="1" applyFill="1" applyBorder="1" applyAlignment="1">
      <alignment/>
    </xf>
    <xf numFmtId="0" fontId="6" fillId="10" borderId="0" xfId="0" applyFont="1" applyFill="1" applyBorder="1" applyAlignment="1">
      <alignment/>
    </xf>
    <xf numFmtId="0" fontId="21" fillId="0" borderId="0" xfId="0" applyFont="1" applyAlignment="1" applyProtection="1">
      <alignment/>
      <protection hidden="1"/>
    </xf>
    <xf numFmtId="0" fontId="0" fillId="0" borderId="0" xfId="0" applyFill="1" applyAlignment="1">
      <alignment/>
    </xf>
    <xf numFmtId="0" fontId="0" fillId="0" borderId="0" xfId="0" applyFill="1" applyAlignment="1" applyProtection="1">
      <alignment/>
      <protection locked="0"/>
    </xf>
    <xf numFmtId="186" fontId="43" fillId="0" borderId="1" xfId="0" applyNumberFormat="1" applyFont="1" applyBorder="1" applyAlignment="1" applyProtection="1">
      <alignment horizontal="center"/>
      <protection hidden="1"/>
    </xf>
    <xf numFmtId="186" fontId="4" fillId="9" borderId="1" xfId="0" applyNumberFormat="1" applyFont="1" applyFill="1" applyBorder="1" applyAlignment="1" applyProtection="1">
      <alignment horizontal="center"/>
      <protection hidden="1"/>
    </xf>
    <xf numFmtId="0" fontId="7" fillId="0" borderId="0" xfId="0" applyFont="1" applyBorder="1" applyAlignment="1">
      <alignment horizontal="center"/>
    </xf>
    <xf numFmtId="0" fontId="0" fillId="9" borderId="1" xfId="0" applyFont="1" applyFill="1" applyBorder="1" applyAlignment="1">
      <alignment horizontal="left"/>
    </xf>
    <xf numFmtId="0" fontId="36" fillId="0" borderId="1" xfId="0" applyFont="1" applyBorder="1" applyAlignment="1">
      <alignment horizontal="left"/>
    </xf>
    <xf numFmtId="0" fontId="39" fillId="10" borderId="0" xfId="0" applyFont="1" applyFill="1" applyBorder="1" applyAlignment="1">
      <alignment horizontal="center" wrapText="1"/>
    </xf>
    <xf numFmtId="0" fontId="32" fillId="0" borderId="0" xfId="0" applyFont="1" applyFill="1" applyBorder="1" applyAlignment="1">
      <alignment horizontal="center"/>
    </xf>
    <xf numFmtId="0" fontId="5" fillId="0" borderId="0" xfId="0" applyFont="1" applyAlignment="1">
      <alignment horizontal="left" wrapText="1"/>
    </xf>
    <xf numFmtId="0" fontId="6" fillId="11" borderId="0" xfId="0" applyFont="1" applyFill="1" applyBorder="1" applyAlignment="1">
      <alignment/>
    </xf>
    <xf numFmtId="0" fontId="6" fillId="2" borderId="0" xfId="0" applyFont="1" applyFill="1" applyBorder="1" applyAlignment="1">
      <alignment/>
    </xf>
    <xf numFmtId="0" fontId="0" fillId="11" borderId="2" xfId="0" applyFill="1" applyBorder="1" applyAlignment="1" applyProtection="1">
      <alignment horizontal="center"/>
      <protection locked="0"/>
    </xf>
    <xf numFmtId="0" fontId="23" fillId="0" borderId="0" xfId="0" applyFont="1" applyAlignment="1">
      <alignment horizontal="center"/>
    </xf>
    <xf numFmtId="0" fontId="0" fillId="0" borderId="0" xfId="0" applyAlignment="1">
      <alignment horizontal="left"/>
    </xf>
    <xf numFmtId="0" fontId="7" fillId="0" borderId="0" xfId="0" applyFont="1" applyBorder="1" applyAlignment="1">
      <alignment horizontal="right"/>
    </xf>
    <xf numFmtId="0" fontId="0" fillId="2" borderId="2"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0" borderId="0" xfId="0" applyBorder="1" applyAlignment="1">
      <alignment horizontal="left"/>
    </xf>
    <xf numFmtId="0" fontId="0" fillId="11" borderId="3" xfId="0" applyFill="1" applyBorder="1" applyAlignment="1" applyProtection="1">
      <alignment horizontal="center"/>
      <protection locked="0"/>
    </xf>
    <xf numFmtId="0" fontId="6" fillId="0" borderId="0" xfId="0" applyFont="1" applyBorder="1" applyAlignment="1">
      <alignment horizontal="center"/>
    </xf>
    <xf numFmtId="0" fontId="0" fillId="0" borderId="0" xfId="0" applyFont="1" applyBorder="1" applyAlignment="1">
      <alignment horizontal="left"/>
    </xf>
    <xf numFmtId="0" fontId="0" fillId="11" borderId="3" xfId="0" applyFill="1" applyBorder="1" applyAlignment="1" applyProtection="1">
      <alignment horizontal="center"/>
      <protection/>
    </xf>
    <xf numFmtId="0" fontId="6" fillId="0" borderId="0" xfId="0" applyFont="1" applyBorder="1" applyAlignment="1" applyProtection="1">
      <alignment horizontal="center"/>
      <protection/>
    </xf>
    <xf numFmtId="0" fontId="0" fillId="0" borderId="0" xfId="0" applyBorder="1" applyAlignment="1" applyProtection="1">
      <alignment horizontal="left"/>
      <protection/>
    </xf>
    <xf numFmtId="0" fontId="0" fillId="11" borderId="2" xfId="0" applyFill="1" applyBorder="1" applyAlignment="1" applyProtection="1">
      <alignment horizontal="center"/>
      <protection/>
    </xf>
    <xf numFmtId="0" fontId="0" fillId="2" borderId="3" xfId="0" applyFill="1" applyBorder="1" applyAlignment="1" applyProtection="1">
      <alignment horizontal="left"/>
      <protection/>
    </xf>
    <xf numFmtId="0" fontId="23" fillId="0" borderId="0" xfId="0" applyFont="1" applyAlignment="1" applyProtection="1">
      <alignment horizontal="center"/>
      <protection/>
    </xf>
    <xf numFmtId="0" fontId="0" fillId="0" borderId="0" xfId="0" applyAlignment="1" applyProtection="1">
      <alignment horizontal="left"/>
      <protection/>
    </xf>
    <xf numFmtId="0" fontId="7" fillId="0" borderId="0" xfId="0" applyFont="1" applyBorder="1" applyAlignment="1" applyProtection="1">
      <alignment horizontal="right"/>
      <protection/>
    </xf>
    <xf numFmtId="0" fontId="0" fillId="2" borderId="2" xfId="0" applyFill="1" applyBorder="1" applyAlignment="1" applyProtection="1">
      <alignment horizontal="left"/>
      <protection/>
    </xf>
    <xf numFmtId="0" fontId="0" fillId="6" borderId="0" xfId="0" applyFill="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4</xdr:row>
      <xdr:rowOff>76200</xdr:rowOff>
    </xdr:from>
    <xdr:to>
      <xdr:col>6</xdr:col>
      <xdr:colOff>923925</xdr:colOff>
      <xdr:row>17</xdr:row>
      <xdr:rowOff>104775</xdr:rowOff>
    </xdr:to>
    <xdr:grpSp>
      <xdr:nvGrpSpPr>
        <xdr:cNvPr id="1" name="Group 92"/>
        <xdr:cNvGrpSpPr>
          <a:grpSpLocks/>
        </xdr:cNvGrpSpPr>
      </xdr:nvGrpSpPr>
      <xdr:grpSpPr>
        <a:xfrm>
          <a:off x="971550" y="990600"/>
          <a:ext cx="4191000" cy="2628900"/>
          <a:chOff x="93" y="105"/>
          <a:chExt cx="440" cy="276"/>
        </a:xfrm>
        <a:solidFill>
          <a:srgbClr val="FFFFFF"/>
        </a:solidFill>
      </xdr:grpSpPr>
      <xdr:sp>
        <xdr:nvSpPr>
          <xdr:cNvPr id="2" name="TextBox 36"/>
          <xdr:cNvSpPr txBox="1">
            <a:spLocks noChangeArrowheads="1"/>
          </xdr:cNvSpPr>
        </xdr:nvSpPr>
        <xdr:spPr>
          <a:xfrm>
            <a:off x="183" y="105"/>
            <a:ext cx="93" cy="18"/>
          </a:xfrm>
          <a:prstGeom prst="rect">
            <a:avLst/>
          </a:prstGeom>
          <a:solidFill>
            <a:srgbClr val="FFFFFF"/>
          </a:solidFill>
          <a:ln w="9525" cmpd="sng">
            <a:noFill/>
          </a:ln>
        </xdr:spPr>
        <xdr:txBody>
          <a:bodyPr vertOverflow="clip" wrap="square"/>
          <a:p>
            <a:pPr algn="l">
              <a:defRPr/>
            </a:pPr>
            <a:r>
              <a:rPr lang="en-US" cap="none" sz="1200" b="0" i="0" u="none" baseline="0">
                <a:latin typeface="Times New Roman"/>
                <a:ea typeface="Times New Roman"/>
                <a:cs typeface="Times New Roman"/>
              </a:rPr>
              <a:t>Pasillo interior</a:t>
            </a:r>
          </a:p>
        </xdr:txBody>
      </xdr:sp>
      <xdr:sp>
        <xdr:nvSpPr>
          <xdr:cNvPr id="3" name="TextBox 48"/>
          <xdr:cNvSpPr txBox="1">
            <a:spLocks noChangeArrowheads="1"/>
          </xdr:cNvSpPr>
        </xdr:nvSpPr>
        <xdr:spPr>
          <a:xfrm>
            <a:off x="295" y="105"/>
            <a:ext cx="21" cy="19"/>
          </a:xfrm>
          <a:prstGeom prst="rect">
            <a:avLst/>
          </a:prstGeom>
          <a:solidFill>
            <a:srgbClr val="FFFFFF"/>
          </a:solidFill>
          <a:ln w="9525" cmpd="sng">
            <a:noFill/>
          </a:ln>
        </xdr:spPr>
        <xdr:txBody>
          <a:bodyPr vertOverflow="clip" wrap="square"/>
          <a:p>
            <a:pPr algn="l">
              <a:defRPr/>
            </a:pPr>
            <a:r>
              <a:rPr lang="en-US" cap="none" sz="1000" b="1" i="0" u="none" baseline="0">
                <a:latin typeface="Times New Roman"/>
                <a:ea typeface="Times New Roman"/>
                <a:cs typeface="Times New Roman"/>
              </a:rPr>
              <a:t>1</a:t>
            </a:r>
          </a:p>
        </xdr:txBody>
      </xdr:sp>
      <xdr:grpSp>
        <xdr:nvGrpSpPr>
          <xdr:cNvPr id="4" name="Group 91"/>
          <xdr:cNvGrpSpPr>
            <a:grpSpLocks/>
          </xdr:cNvGrpSpPr>
        </xdr:nvGrpSpPr>
        <xdr:grpSpPr>
          <a:xfrm>
            <a:off x="93" y="128"/>
            <a:ext cx="440" cy="253"/>
            <a:chOff x="4" y="126"/>
            <a:chExt cx="440" cy="253"/>
          </a:xfrm>
          <a:solidFill>
            <a:srgbClr val="FFFFFF"/>
          </a:solidFill>
        </xdr:grpSpPr>
        <xdr:sp>
          <xdr:nvSpPr>
            <xdr:cNvPr id="5" name="AutoShape 90"/>
            <xdr:cNvSpPr>
              <a:spLocks/>
            </xdr:cNvSpPr>
          </xdr:nvSpPr>
          <xdr:spPr>
            <a:xfrm rot="16200000">
              <a:off x="36" y="130"/>
              <a:ext cx="294" cy="183"/>
            </a:xfrm>
            <a:prstGeom prst="flowChartManualInput">
              <a:avLst/>
            </a:prstGeom>
            <a:solidFill>
              <a:srgbClr val="FFFF99">
                <a:alpha val="50000"/>
              </a:srgbClr>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TextBox 57"/>
            <xdr:cNvSpPr txBox="1">
              <a:spLocks noChangeArrowheads="1"/>
            </xdr:cNvSpPr>
          </xdr:nvSpPr>
          <xdr:spPr>
            <a:xfrm>
              <a:off x="346" y="247"/>
              <a:ext cx="98" cy="36"/>
            </a:xfrm>
            <a:prstGeom prst="rect">
              <a:avLst/>
            </a:prstGeom>
            <a:solidFill>
              <a:srgbClr val="FFFF99">
                <a:alpha val="50000"/>
              </a:srgbClr>
            </a:solidFill>
            <a:ln w="9525" cmpd="sng">
              <a:noFill/>
            </a:ln>
          </xdr:spPr>
          <xdr:txBody>
            <a:bodyPr vertOverflow="clip" wrap="square"/>
            <a:p>
              <a:pPr algn="l">
                <a:defRPr/>
              </a:pPr>
              <a:r>
                <a:rPr lang="en-US" cap="none" sz="1000" b="0" i="0" u="none" baseline="0">
                  <a:latin typeface="Times New Roman"/>
                  <a:ea typeface="Times New Roman"/>
                  <a:cs typeface="Times New Roman"/>
                </a:rPr>
                <a:t>Radiación terciaria</a:t>
              </a:r>
            </a:p>
          </xdr:txBody>
        </xdr:sp>
        <xdr:sp>
          <xdr:nvSpPr>
            <xdr:cNvPr id="7" name="TextBox 60"/>
            <xdr:cNvSpPr txBox="1">
              <a:spLocks noChangeArrowheads="1"/>
            </xdr:cNvSpPr>
          </xdr:nvSpPr>
          <xdr:spPr>
            <a:xfrm>
              <a:off x="343" y="192"/>
              <a:ext cx="98" cy="36"/>
            </a:xfrm>
            <a:prstGeom prst="rect">
              <a:avLst/>
            </a:prstGeom>
            <a:solidFill>
              <a:srgbClr val="00FF00">
                <a:alpha val="50000"/>
              </a:srgbClr>
            </a:solidFill>
            <a:ln w="9525" cmpd="sng">
              <a:noFill/>
            </a:ln>
          </xdr:spPr>
          <xdr:txBody>
            <a:bodyPr vertOverflow="clip" wrap="square"/>
            <a:p>
              <a:pPr algn="l">
                <a:defRPr/>
              </a:pPr>
              <a:r>
                <a:rPr lang="en-US" cap="none" sz="1000" b="0" i="0" u="none" baseline="0">
                  <a:latin typeface="Times New Roman"/>
                  <a:ea typeface="Times New Roman"/>
                  <a:cs typeface="Times New Roman"/>
                </a:rPr>
                <a:t>Radiación dispersa y fuga</a:t>
              </a:r>
            </a:p>
          </xdr:txBody>
        </xdr:sp>
        <xdr:grpSp>
          <xdr:nvGrpSpPr>
            <xdr:cNvPr id="8" name="Group 22"/>
            <xdr:cNvGrpSpPr>
              <a:grpSpLocks/>
            </xdr:cNvGrpSpPr>
          </xdr:nvGrpSpPr>
          <xdr:grpSpPr>
            <a:xfrm>
              <a:off x="97" y="214"/>
              <a:ext cx="191" cy="35"/>
              <a:chOff x="176" y="168"/>
              <a:chExt cx="179" cy="35"/>
            </a:xfrm>
            <a:solidFill>
              <a:srgbClr val="FFFFFF"/>
            </a:solidFill>
          </xdr:grpSpPr>
          <xdr:sp>
            <xdr:nvSpPr>
              <xdr:cNvPr id="9" name="Rectangle 7"/>
              <xdr:cNvSpPr>
                <a:spLocks/>
              </xdr:cNvSpPr>
            </xdr:nvSpPr>
            <xdr:spPr>
              <a:xfrm>
                <a:off x="176" y="168"/>
                <a:ext cx="121" cy="3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10" name="Group 20"/>
              <xdr:cNvGrpSpPr>
                <a:grpSpLocks/>
              </xdr:cNvGrpSpPr>
            </xdr:nvGrpSpPr>
            <xdr:grpSpPr>
              <a:xfrm>
                <a:off x="213" y="169"/>
                <a:ext cx="64" cy="30"/>
                <a:chOff x="213" y="169"/>
                <a:chExt cx="64" cy="30"/>
              </a:xfrm>
              <a:solidFill>
                <a:srgbClr val="FFFFFF"/>
              </a:solidFill>
            </xdr:grpSpPr>
            <xdr:sp>
              <xdr:nvSpPr>
                <xdr:cNvPr id="11" name="Oval 14"/>
                <xdr:cNvSpPr>
                  <a:spLocks/>
                </xdr:cNvSpPr>
              </xdr:nvSpPr>
              <xdr:spPr>
                <a:xfrm>
                  <a:off x="239" y="176"/>
                  <a:ext cx="38" cy="18"/>
                </a:xfrm>
                <a:prstGeom prst="ellipse">
                  <a:avLst/>
                </a:prstGeom>
                <a:solidFill>
                  <a:srgbClr val="FF99CC"/>
                </a:solidFill>
                <a:ln w="9525" cmpd="sng">
                  <a:solidFill>
                    <a:srgbClr val="FF99CC"/>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2" name="Rectangle 15"/>
                <xdr:cNvSpPr>
                  <a:spLocks/>
                </xdr:cNvSpPr>
              </xdr:nvSpPr>
              <xdr:spPr>
                <a:xfrm>
                  <a:off x="213" y="177"/>
                  <a:ext cx="30" cy="6"/>
                </a:xfrm>
                <a:prstGeom prst="rect">
                  <a:avLst/>
                </a:prstGeom>
                <a:solidFill>
                  <a:srgbClr val="FF99CC"/>
                </a:solidFill>
                <a:ln w="9525" cmpd="sng">
                  <a:solidFill>
                    <a:srgbClr val="FF99CC"/>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3" name="Rectangle 16"/>
                <xdr:cNvSpPr>
                  <a:spLocks/>
                </xdr:cNvSpPr>
              </xdr:nvSpPr>
              <xdr:spPr>
                <a:xfrm>
                  <a:off x="213" y="186"/>
                  <a:ext cx="30" cy="6"/>
                </a:xfrm>
                <a:prstGeom prst="rect">
                  <a:avLst/>
                </a:prstGeom>
                <a:solidFill>
                  <a:srgbClr val="FF99CC"/>
                </a:solidFill>
                <a:ln w="9525" cmpd="sng">
                  <a:solidFill>
                    <a:srgbClr val="FF99CC"/>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4" name="Line 18"/>
                <xdr:cNvSpPr>
                  <a:spLocks/>
                </xdr:cNvSpPr>
              </xdr:nvSpPr>
              <xdr:spPr>
                <a:xfrm flipH="1" flipV="1">
                  <a:off x="256" y="169"/>
                  <a:ext cx="14" cy="9"/>
                </a:xfrm>
                <a:prstGeom prst="line">
                  <a:avLst/>
                </a:prstGeom>
                <a:noFill/>
                <a:ln w="28575" cmpd="sng">
                  <a:solidFill>
                    <a:srgbClr val="FF99CC"/>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5" name="Line 19"/>
                <xdr:cNvSpPr>
                  <a:spLocks/>
                </xdr:cNvSpPr>
              </xdr:nvSpPr>
              <xdr:spPr>
                <a:xfrm flipH="1">
                  <a:off x="252" y="191"/>
                  <a:ext cx="19" cy="8"/>
                </a:xfrm>
                <a:prstGeom prst="line">
                  <a:avLst/>
                </a:prstGeom>
                <a:noFill/>
                <a:ln w="28575" cmpd="sng">
                  <a:solidFill>
                    <a:srgbClr val="FF99CC"/>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grpSp>
            <xdr:nvGrpSpPr>
              <xdr:cNvPr id="16" name="Group 12"/>
              <xdr:cNvGrpSpPr>
                <a:grpSpLocks/>
              </xdr:cNvGrpSpPr>
            </xdr:nvGrpSpPr>
            <xdr:grpSpPr>
              <a:xfrm>
                <a:off x="273" y="168"/>
                <a:ext cx="82" cy="35"/>
                <a:chOff x="265" y="145"/>
                <a:chExt cx="82" cy="35"/>
              </a:xfrm>
              <a:solidFill>
                <a:srgbClr val="FFFFFF"/>
              </a:solidFill>
            </xdr:grpSpPr>
            <xdr:sp>
              <xdr:nvSpPr>
                <xdr:cNvPr id="17" name="Oval 8"/>
                <xdr:cNvSpPr>
                  <a:spLocks/>
                </xdr:cNvSpPr>
              </xdr:nvSpPr>
              <xdr:spPr>
                <a:xfrm>
                  <a:off x="265" y="147"/>
                  <a:ext cx="39" cy="30"/>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8" name="Rectangle 9"/>
                <xdr:cNvSpPr>
                  <a:spLocks/>
                </xdr:cNvSpPr>
              </xdr:nvSpPr>
              <xdr:spPr>
                <a:xfrm>
                  <a:off x="286" y="145"/>
                  <a:ext cx="61" cy="3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grpSp>
        <xdr:sp>
          <xdr:nvSpPr>
            <xdr:cNvPr id="19" name="Line 2"/>
            <xdr:cNvSpPr>
              <a:spLocks/>
            </xdr:cNvSpPr>
          </xdr:nvSpPr>
          <xdr:spPr>
            <a:xfrm>
              <a:off x="4" y="130"/>
              <a:ext cx="0" cy="249"/>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0" name="Line 3"/>
            <xdr:cNvSpPr>
              <a:spLocks/>
            </xdr:cNvSpPr>
          </xdr:nvSpPr>
          <xdr:spPr>
            <a:xfrm flipH="1">
              <a:off x="331" y="128"/>
              <a:ext cx="0" cy="249"/>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1" name="Line 4"/>
            <xdr:cNvSpPr>
              <a:spLocks/>
            </xdr:cNvSpPr>
          </xdr:nvSpPr>
          <xdr:spPr>
            <a:xfrm>
              <a:off x="4" y="129"/>
              <a:ext cx="327"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2" name="Line 5"/>
            <xdr:cNvSpPr>
              <a:spLocks/>
            </xdr:cNvSpPr>
          </xdr:nvSpPr>
          <xdr:spPr>
            <a:xfrm>
              <a:off x="4" y="378"/>
              <a:ext cx="234"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3" name="Rectangle 31"/>
            <xdr:cNvSpPr>
              <a:spLocks/>
            </xdr:cNvSpPr>
          </xdr:nvSpPr>
          <xdr:spPr>
            <a:xfrm rot="718449">
              <a:off x="242" y="366"/>
              <a:ext cx="90" cy="8"/>
            </a:xfrm>
            <a:prstGeom prst="rect">
              <a:avLst/>
            </a:prstGeom>
            <a:solidFill>
              <a:srgbClr val="993366"/>
            </a:solidFill>
            <a:ln w="9525" cmpd="sng">
              <a:solidFill>
                <a:srgbClr val="993366"/>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4" name="TextBox 35"/>
            <xdr:cNvSpPr txBox="1">
              <a:spLocks noChangeArrowheads="1"/>
            </xdr:cNvSpPr>
          </xdr:nvSpPr>
          <xdr:spPr>
            <a:xfrm>
              <a:off x="120" y="132"/>
              <a:ext cx="34" cy="22"/>
            </a:xfrm>
            <a:prstGeom prst="rect">
              <a:avLst/>
            </a:prstGeom>
            <a:solidFill>
              <a:srgbClr val="FFFFFF"/>
            </a:solidFill>
            <a:ln w="9525" cmpd="sng">
              <a:noFill/>
            </a:ln>
          </xdr:spPr>
          <xdr:txBody>
            <a:bodyPr vertOverflow="clip" wrap="square"/>
            <a:p>
              <a:pPr algn="l">
                <a:defRPr/>
              </a:pPr>
              <a:r>
                <a:rPr lang="en-US" cap="none" sz="1200" b="1" i="0" u="none" baseline="0">
                  <a:latin typeface="Times New Roman"/>
                  <a:ea typeface="Times New Roman"/>
                  <a:cs typeface="Times New Roman"/>
                </a:rPr>
                <a:t>A</a:t>
              </a:r>
            </a:p>
          </xdr:txBody>
        </xdr:sp>
        <xdr:sp>
          <xdr:nvSpPr>
            <xdr:cNvPr id="25" name="TextBox 52"/>
            <xdr:cNvSpPr txBox="1">
              <a:spLocks noChangeArrowheads="1"/>
            </xdr:cNvSpPr>
          </xdr:nvSpPr>
          <xdr:spPr>
            <a:xfrm>
              <a:off x="268" y="156"/>
              <a:ext cx="56" cy="4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Haz primario</a:t>
              </a:r>
            </a:p>
          </xdr:txBody>
        </xdr:sp>
        <xdr:sp>
          <xdr:nvSpPr>
            <xdr:cNvPr id="26" name="AutoShape 55"/>
            <xdr:cNvSpPr>
              <a:spLocks/>
            </xdr:cNvSpPr>
          </xdr:nvSpPr>
          <xdr:spPr>
            <a:xfrm>
              <a:off x="178" y="229"/>
              <a:ext cx="58" cy="87"/>
            </a:xfrm>
            <a:prstGeom prst="triangle">
              <a:avLst/>
            </a:prstGeom>
            <a:solidFill>
              <a:srgbClr val="FFCC00"/>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27" name="AutoShape 54"/>
            <xdr:cNvSpPr>
              <a:spLocks/>
            </xdr:cNvSpPr>
          </xdr:nvSpPr>
          <xdr:spPr>
            <a:xfrm flipV="1">
              <a:off x="175" y="131"/>
              <a:ext cx="63" cy="98"/>
            </a:xfrm>
            <a:prstGeom prst="triangle">
              <a:avLst/>
            </a:prstGeom>
            <a:solidFill>
              <a:srgbClr val="FFCC00"/>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28" name="TextBox 71"/>
            <xdr:cNvSpPr txBox="1">
              <a:spLocks noChangeArrowheads="1"/>
            </xdr:cNvSpPr>
          </xdr:nvSpPr>
          <xdr:spPr>
            <a:xfrm>
              <a:off x="207" y="251"/>
              <a:ext cx="29" cy="23"/>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 m</a:t>
              </a:r>
            </a:p>
          </xdr:txBody>
        </xdr:sp>
        <xdr:grpSp>
          <xdr:nvGrpSpPr>
            <xdr:cNvPr id="29" name="Group 85"/>
            <xdr:cNvGrpSpPr>
              <a:grpSpLocks/>
            </xdr:cNvGrpSpPr>
          </xdr:nvGrpSpPr>
          <xdr:grpSpPr>
            <a:xfrm>
              <a:off x="88" y="334"/>
              <a:ext cx="234" cy="33"/>
              <a:chOff x="97" y="318"/>
              <a:chExt cx="234" cy="33"/>
            </a:xfrm>
            <a:solidFill>
              <a:srgbClr val="FFFFFF"/>
            </a:solidFill>
          </xdr:grpSpPr>
          <xdr:sp>
            <xdr:nvSpPr>
              <xdr:cNvPr id="30" name="Line 68"/>
              <xdr:cNvSpPr>
                <a:spLocks/>
              </xdr:cNvSpPr>
            </xdr:nvSpPr>
            <xdr:spPr>
              <a:xfrm>
                <a:off x="97" y="323"/>
                <a:ext cx="234"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31" name="TextBox 69"/>
              <xdr:cNvSpPr txBox="1">
                <a:spLocks noChangeArrowheads="1"/>
              </xdr:cNvSpPr>
            </xdr:nvSpPr>
            <xdr:spPr>
              <a:xfrm>
                <a:off x="193" y="328"/>
                <a:ext cx="41" cy="23"/>
              </a:xfrm>
              <a:prstGeom prst="rect">
                <a:avLst/>
              </a:prstGeom>
              <a:noFill/>
              <a:ln w="9525" cmpd="sng">
                <a:noFill/>
              </a:ln>
            </xdr:spPr>
            <xdr:txBody>
              <a:bodyPr vertOverflow="clip" wrap="square"/>
              <a:p>
                <a:pPr algn="l">
                  <a:defRPr/>
                </a:pPr>
                <a:r>
                  <a:rPr lang="en-US" cap="none" sz="1100" b="0" i="0" u="none" baseline="0">
                    <a:latin typeface="Times New Roman"/>
                    <a:ea typeface="Times New Roman"/>
                    <a:cs typeface="Times New Roman"/>
                  </a:rPr>
                  <a:t>F</a:t>
                </a:r>
                <a:r>
                  <a:rPr lang="en-US" cap="none" sz="1100" b="0" i="0" u="none" baseline="-25000">
                    <a:latin typeface="Times New Roman"/>
                    <a:ea typeface="Times New Roman"/>
                    <a:cs typeface="Times New Roman"/>
                  </a:rPr>
                  <a:t>t</a:t>
                </a:r>
              </a:p>
            </xdr:txBody>
          </xdr:sp>
          <xdr:sp>
            <xdr:nvSpPr>
              <xdr:cNvPr id="32" name="TextBox 75"/>
              <xdr:cNvSpPr txBox="1">
                <a:spLocks noChangeArrowheads="1"/>
              </xdr:cNvSpPr>
            </xdr:nvSpPr>
            <xdr:spPr>
              <a:xfrm>
                <a:off x="196" y="318"/>
                <a:ext cx="39" cy="1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6 m</a:t>
                </a:r>
              </a:p>
            </xdr:txBody>
          </xdr:sp>
        </xdr:grpSp>
        <xdr:sp>
          <xdr:nvSpPr>
            <xdr:cNvPr id="33" name="AutoShape 82"/>
            <xdr:cNvSpPr>
              <a:spLocks/>
            </xdr:cNvSpPr>
          </xdr:nvSpPr>
          <xdr:spPr>
            <a:xfrm>
              <a:off x="166" y="126"/>
              <a:ext cx="84" cy="108"/>
            </a:xfrm>
            <a:prstGeom prst="trapezoid">
              <a:avLst>
                <a:gd name="adj" fmla="val -13097"/>
              </a:avLst>
            </a:prstGeom>
            <a:solidFill>
              <a:srgbClr val="00FF00">
                <a:alpha val="50000"/>
              </a:srgbClr>
            </a:solidFill>
            <a:ln w="9525" cmpd="sng">
              <a:solidFill>
                <a:srgbClr val="00FF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4" name="Line 45"/>
            <xdr:cNvSpPr>
              <a:spLocks/>
            </xdr:cNvSpPr>
          </xdr:nvSpPr>
          <xdr:spPr>
            <a:xfrm>
              <a:off x="210" y="134"/>
              <a:ext cx="0" cy="102"/>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35" name="Line 70"/>
            <xdr:cNvSpPr>
              <a:spLocks/>
            </xdr:cNvSpPr>
          </xdr:nvSpPr>
          <xdr:spPr>
            <a:xfrm flipH="1">
              <a:off x="215" y="129"/>
              <a:ext cx="0" cy="184"/>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36" name="TextBox 46"/>
            <xdr:cNvSpPr txBox="1">
              <a:spLocks noChangeArrowheads="1"/>
            </xdr:cNvSpPr>
          </xdr:nvSpPr>
          <xdr:spPr>
            <a:xfrm>
              <a:off x="188" y="163"/>
              <a:ext cx="23" cy="18"/>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 m</a:t>
              </a:r>
            </a:p>
          </xdr:txBody>
        </xdr:sp>
        <xdr:sp>
          <xdr:nvSpPr>
            <xdr:cNvPr id="37" name="Line 51"/>
            <xdr:cNvSpPr>
              <a:spLocks/>
            </xdr:cNvSpPr>
          </xdr:nvSpPr>
          <xdr:spPr>
            <a:xfrm>
              <a:off x="225" y="145"/>
              <a:ext cx="44" cy="1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8" name="Line 66"/>
            <xdr:cNvSpPr>
              <a:spLocks/>
            </xdr:cNvSpPr>
          </xdr:nvSpPr>
          <xdr:spPr>
            <a:xfrm flipH="1" flipV="1">
              <a:off x="226" y="189"/>
              <a:ext cx="116" cy="2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39" name="Line 58"/>
            <xdr:cNvSpPr>
              <a:spLocks/>
            </xdr:cNvSpPr>
          </xdr:nvSpPr>
          <xdr:spPr>
            <a:xfrm>
              <a:off x="294" y="265"/>
              <a:ext cx="5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40" name="Rectangle 84"/>
            <xdr:cNvSpPr>
              <a:spLocks/>
            </xdr:cNvSpPr>
          </xdr:nvSpPr>
          <xdr:spPr>
            <a:xfrm>
              <a:off x="95" y="315"/>
              <a:ext cx="236" cy="18"/>
            </a:xfrm>
            <a:prstGeom prst="rect">
              <a:avLst/>
            </a:prstGeom>
            <a:solidFill>
              <a:srgbClr val="808080">
                <a:alpha val="50000"/>
              </a:srgbClr>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723900</xdr:colOff>
      <xdr:row>11</xdr:row>
      <xdr:rowOff>47625</xdr:rowOff>
    </xdr:from>
    <xdr:to>
      <xdr:col>6</xdr:col>
      <xdr:colOff>819150</xdr:colOff>
      <xdr:row>12</xdr:row>
      <xdr:rowOff>190500</xdr:rowOff>
    </xdr:to>
    <xdr:sp>
      <xdr:nvSpPr>
        <xdr:cNvPr id="1" name="TextBox 36"/>
        <xdr:cNvSpPr txBox="1">
          <a:spLocks noChangeArrowheads="1"/>
        </xdr:cNvSpPr>
      </xdr:nvSpPr>
      <xdr:spPr>
        <a:xfrm>
          <a:off x="4124325" y="2438400"/>
          <a:ext cx="933450" cy="342900"/>
        </a:xfrm>
        <a:prstGeom prst="rect">
          <a:avLst/>
        </a:prstGeom>
        <a:solidFill>
          <a:srgbClr val="FFFF99">
            <a:alpha val="50000"/>
          </a:srgbClr>
        </a:solidFill>
        <a:ln w="9525" cmpd="sng">
          <a:noFill/>
        </a:ln>
      </xdr:spPr>
      <xdr:txBody>
        <a:bodyPr vertOverflow="clip" wrap="square"/>
        <a:p>
          <a:pPr algn="l">
            <a:defRPr/>
          </a:pPr>
          <a:r>
            <a:rPr lang="en-US" cap="none" sz="1000" b="0" i="0" u="none" baseline="0">
              <a:latin typeface="Times New Roman"/>
              <a:ea typeface="Times New Roman"/>
              <a:cs typeface="Times New Roman"/>
            </a:rPr>
            <a:t>Radiación terciaria</a:t>
          </a:r>
        </a:p>
      </xdr:txBody>
    </xdr:sp>
    <xdr:clientData/>
  </xdr:twoCellAnchor>
  <xdr:twoCellAnchor>
    <xdr:from>
      <xdr:col>0</xdr:col>
      <xdr:colOff>390525</xdr:colOff>
      <xdr:row>4</xdr:row>
      <xdr:rowOff>95250</xdr:rowOff>
    </xdr:from>
    <xdr:to>
      <xdr:col>6</xdr:col>
      <xdr:colOff>238125</xdr:colOff>
      <xdr:row>20</xdr:row>
      <xdr:rowOff>9525</xdr:rowOff>
    </xdr:to>
    <xdr:grpSp>
      <xdr:nvGrpSpPr>
        <xdr:cNvPr id="2" name="Group 78"/>
        <xdr:cNvGrpSpPr>
          <a:grpSpLocks/>
        </xdr:cNvGrpSpPr>
      </xdr:nvGrpSpPr>
      <xdr:grpSpPr>
        <a:xfrm>
          <a:off x="390525" y="1009650"/>
          <a:ext cx="4086225" cy="3190875"/>
          <a:chOff x="41" y="106"/>
          <a:chExt cx="429" cy="335"/>
        </a:xfrm>
        <a:solidFill>
          <a:srgbClr val="FFFFFF"/>
        </a:solidFill>
      </xdr:grpSpPr>
      <xdr:sp>
        <xdr:nvSpPr>
          <xdr:cNvPr id="3" name="TextBox 37"/>
          <xdr:cNvSpPr txBox="1">
            <a:spLocks noChangeArrowheads="1"/>
          </xdr:cNvSpPr>
        </xdr:nvSpPr>
        <xdr:spPr>
          <a:xfrm>
            <a:off x="57" y="405"/>
            <a:ext cx="98" cy="36"/>
          </a:xfrm>
          <a:prstGeom prst="rect">
            <a:avLst/>
          </a:prstGeom>
          <a:solidFill>
            <a:srgbClr val="00FF00">
              <a:alpha val="50000"/>
            </a:srgbClr>
          </a:solidFill>
          <a:ln w="9525" cmpd="sng">
            <a:noFill/>
          </a:ln>
        </xdr:spPr>
        <xdr:txBody>
          <a:bodyPr vertOverflow="clip" wrap="square"/>
          <a:p>
            <a:pPr algn="l">
              <a:defRPr/>
            </a:pPr>
            <a:r>
              <a:rPr lang="en-US" cap="none" sz="1000" b="0" i="0" u="none" baseline="0">
                <a:latin typeface="Times New Roman"/>
                <a:ea typeface="Times New Roman"/>
                <a:cs typeface="Times New Roman"/>
              </a:rPr>
              <a:t>Radiación dispersa y fuga</a:t>
            </a:r>
          </a:p>
        </xdr:txBody>
      </xdr:sp>
      <xdr:sp>
        <xdr:nvSpPr>
          <xdr:cNvPr id="4" name="TextBox 11"/>
          <xdr:cNvSpPr txBox="1">
            <a:spLocks noChangeArrowheads="1"/>
          </xdr:cNvSpPr>
        </xdr:nvSpPr>
        <xdr:spPr>
          <a:xfrm>
            <a:off x="41" y="210"/>
            <a:ext cx="30" cy="98"/>
          </a:xfrm>
          <a:prstGeom prst="rect">
            <a:avLst/>
          </a:prstGeom>
          <a:solidFill>
            <a:srgbClr val="FFFFFF"/>
          </a:solidFill>
          <a:ln w="9525" cmpd="sng">
            <a:noFill/>
          </a:ln>
        </xdr:spPr>
        <xdr:txBody>
          <a:bodyPr vertOverflow="clip" wrap="square" vert="vert270"/>
          <a:p>
            <a:pPr algn="l">
              <a:defRPr/>
            </a:pPr>
            <a:r>
              <a:rPr lang="en-US" cap="none" sz="1000" b="0" i="0" u="none" baseline="0">
                <a:latin typeface="Times New Roman"/>
                <a:ea typeface="Times New Roman"/>
                <a:cs typeface="Times New Roman"/>
              </a:rPr>
              <a:t>Consulta médica</a:t>
            </a:r>
          </a:p>
        </xdr:txBody>
      </xdr:sp>
      <xdr:sp>
        <xdr:nvSpPr>
          <xdr:cNvPr id="5" name="TextBox 12"/>
          <xdr:cNvSpPr txBox="1">
            <a:spLocks noChangeArrowheads="1"/>
          </xdr:cNvSpPr>
        </xdr:nvSpPr>
        <xdr:spPr>
          <a:xfrm>
            <a:off x="79" y="234"/>
            <a:ext cx="21" cy="19"/>
          </a:xfrm>
          <a:prstGeom prst="rect">
            <a:avLst/>
          </a:prstGeom>
          <a:solidFill>
            <a:srgbClr val="FFFFFF"/>
          </a:solidFill>
          <a:ln w="9525" cmpd="sng">
            <a:noFill/>
          </a:ln>
        </xdr:spPr>
        <xdr:txBody>
          <a:bodyPr vertOverflow="clip" wrap="square"/>
          <a:p>
            <a:pPr algn="l">
              <a:defRPr/>
            </a:pPr>
            <a:r>
              <a:rPr lang="en-US" cap="none" sz="1000" b="1" i="0" u="none" baseline="0">
                <a:latin typeface="Times New Roman"/>
                <a:ea typeface="Times New Roman"/>
                <a:cs typeface="Times New Roman"/>
              </a:rPr>
              <a:t>2</a:t>
            </a:r>
          </a:p>
        </xdr:txBody>
      </xdr:sp>
      <xdr:grpSp>
        <xdr:nvGrpSpPr>
          <xdr:cNvPr id="6" name="Group 17"/>
          <xdr:cNvGrpSpPr>
            <a:grpSpLocks/>
          </xdr:cNvGrpSpPr>
        </xdr:nvGrpSpPr>
        <xdr:grpSpPr>
          <a:xfrm>
            <a:off x="190" y="229"/>
            <a:ext cx="191" cy="35"/>
            <a:chOff x="176" y="168"/>
            <a:chExt cx="179" cy="35"/>
          </a:xfrm>
          <a:solidFill>
            <a:srgbClr val="FFFFFF"/>
          </a:solidFill>
        </xdr:grpSpPr>
        <xdr:sp>
          <xdr:nvSpPr>
            <xdr:cNvPr id="7" name="Rectangle 18"/>
            <xdr:cNvSpPr>
              <a:spLocks/>
            </xdr:cNvSpPr>
          </xdr:nvSpPr>
          <xdr:spPr>
            <a:xfrm>
              <a:off x="176" y="168"/>
              <a:ext cx="121" cy="3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8" name="Group 19"/>
            <xdr:cNvGrpSpPr>
              <a:grpSpLocks/>
            </xdr:cNvGrpSpPr>
          </xdr:nvGrpSpPr>
          <xdr:grpSpPr>
            <a:xfrm>
              <a:off x="213" y="169"/>
              <a:ext cx="64" cy="30"/>
              <a:chOff x="213" y="169"/>
              <a:chExt cx="64" cy="30"/>
            </a:xfrm>
            <a:solidFill>
              <a:srgbClr val="FFFFFF"/>
            </a:solidFill>
          </xdr:grpSpPr>
          <xdr:sp>
            <xdr:nvSpPr>
              <xdr:cNvPr id="9" name="Oval 20"/>
              <xdr:cNvSpPr>
                <a:spLocks/>
              </xdr:cNvSpPr>
            </xdr:nvSpPr>
            <xdr:spPr>
              <a:xfrm>
                <a:off x="239" y="176"/>
                <a:ext cx="38" cy="18"/>
              </a:xfrm>
              <a:prstGeom prst="ellipse">
                <a:avLst/>
              </a:prstGeom>
              <a:solidFill>
                <a:srgbClr val="FF99CC"/>
              </a:solidFill>
              <a:ln w="9525" cmpd="sng">
                <a:solidFill>
                  <a:srgbClr val="FF99CC"/>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0" name="Rectangle 21"/>
              <xdr:cNvSpPr>
                <a:spLocks/>
              </xdr:cNvSpPr>
            </xdr:nvSpPr>
            <xdr:spPr>
              <a:xfrm>
                <a:off x="213" y="177"/>
                <a:ext cx="30" cy="6"/>
              </a:xfrm>
              <a:prstGeom prst="rect">
                <a:avLst/>
              </a:prstGeom>
              <a:solidFill>
                <a:srgbClr val="FF99CC"/>
              </a:solidFill>
              <a:ln w="9525" cmpd="sng">
                <a:solidFill>
                  <a:srgbClr val="FF99CC"/>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1" name="Rectangle 22"/>
              <xdr:cNvSpPr>
                <a:spLocks/>
              </xdr:cNvSpPr>
            </xdr:nvSpPr>
            <xdr:spPr>
              <a:xfrm>
                <a:off x="213" y="186"/>
                <a:ext cx="30" cy="6"/>
              </a:xfrm>
              <a:prstGeom prst="rect">
                <a:avLst/>
              </a:prstGeom>
              <a:solidFill>
                <a:srgbClr val="FF99CC"/>
              </a:solidFill>
              <a:ln w="9525" cmpd="sng">
                <a:solidFill>
                  <a:srgbClr val="FF99CC"/>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2" name="Line 23"/>
              <xdr:cNvSpPr>
                <a:spLocks/>
              </xdr:cNvSpPr>
            </xdr:nvSpPr>
            <xdr:spPr>
              <a:xfrm flipH="1" flipV="1">
                <a:off x="256" y="169"/>
                <a:ext cx="14" cy="9"/>
              </a:xfrm>
              <a:prstGeom prst="line">
                <a:avLst/>
              </a:prstGeom>
              <a:noFill/>
              <a:ln w="28575" cmpd="sng">
                <a:solidFill>
                  <a:srgbClr val="FF99CC"/>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3" name="Line 24"/>
              <xdr:cNvSpPr>
                <a:spLocks/>
              </xdr:cNvSpPr>
            </xdr:nvSpPr>
            <xdr:spPr>
              <a:xfrm flipH="1">
                <a:off x="252" y="191"/>
                <a:ext cx="19" cy="8"/>
              </a:xfrm>
              <a:prstGeom prst="line">
                <a:avLst/>
              </a:prstGeom>
              <a:noFill/>
              <a:ln w="28575" cmpd="sng">
                <a:solidFill>
                  <a:srgbClr val="FF99CC"/>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grpSp>
          <xdr:nvGrpSpPr>
            <xdr:cNvPr id="14" name="Group 25"/>
            <xdr:cNvGrpSpPr>
              <a:grpSpLocks/>
            </xdr:cNvGrpSpPr>
          </xdr:nvGrpSpPr>
          <xdr:grpSpPr>
            <a:xfrm>
              <a:off x="273" y="168"/>
              <a:ext cx="82" cy="35"/>
              <a:chOff x="265" y="145"/>
              <a:chExt cx="82" cy="35"/>
            </a:xfrm>
            <a:solidFill>
              <a:srgbClr val="FFFFFF"/>
            </a:solidFill>
          </xdr:grpSpPr>
          <xdr:sp>
            <xdr:nvSpPr>
              <xdr:cNvPr id="15" name="Oval 26"/>
              <xdr:cNvSpPr>
                <a:spLocks/>
              </xdr:cNvSpPr>
            </xdr:nvSpPr>
            <xdr:spPr>
              <a:xfrm>
                <a:off x="265" y="147"/>
                <a:ext cx="39" cy="30"/>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6" name="Rectangle 27"/>
              <xdr:cNvSpPr>
                <a:spLocks/>
              </xdr:cNvSpPr>
            </xdr:nvSpPr>
            <xdr:spPr>
              <a:xfrm>
                <a:off x="286" y="145"/>
                <a:ext cx="61" cy="3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grpSp>
      <xdr:sp>
        <xdr:nvSpPr>
          <xdr:cNvPr id="17" name="Line 28"/>
          <xdr:cNvSpPr>
            <a:spLocks/>
          </xdr:cNvSpPr>
        </xdr:nvSpPr>
        <xdr:spPr>
          <a:xfrm>
            <a:off x="97" y="145"/>
            <a:ext cx="0" cy="249"/>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8" name="Line 29"/>
          <xdr:cNvSpPr>
            <a:spLocks/>
          </xdr:cNvSpPr>
        </xdr:nvSpPr>
        <xdr:spPr>
          <a:xfrm flipH="1">
            <a:off x="424" y="143"/>
            <a:ext cx="0" cy="249"/>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9" name="Line 30"/>
          <xdr:cNvSpPr>
            <a:spLocks/>
          </xdr:cNvSpPr>
        </xdr:nvSpPr>
        <xdr:spPr>
          <a:xfrm>
            <a:off x="97" y="144"/>
            <a:ext cx="327"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0" name="Line 31"/>
          <xdr:cNvSpPr>
            <a:spLocks/>
          </xdr:cNvSpPr>
        </xdr:nvSpPr>
        <xdr:spPr>
          <a:xfrm>
            <a:off x="97" y="393"/>
            <a:ext cx="234"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1" name="Rectangle 33"/>
          <xdr:cNvSpPr>
            <a:spLocks/>
          </xdr:cNvSpPr>
        </xdr:nvSpPr>
        <xdr:spPr>
          <a:xfrm rot="718449">
            <a:off x="335" y="381"/>
            <a:ext cx="90" cy="8"/>
          </a:xfrm>
          <a:prstGeom prst="rect">
            <a:avLst/>
          </a:prstGeom>
          <a:solidFill>
            <a:srgbClr val="993366"/>
          </a:solidFill>
          <a:ln w="9525" cmpd="sng">
            <a:solidFill>
              <a:srgbClr val="993366"/>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2" name="TextBox 34"/>
          <xdr:cNvSpPr txBox="1">
            <a:spLocks noChangeArrowheads="1"/>
          </xdr:cNvSpPr>
        </xdr:nvSpPr>
        <xdr:spPr>
          <a:xfrm>
            <a:off x="213" y="147"/>
            <a:ext cx="34" cy="22"/>
          </a:xfrm>
          <a:prstGeom prst="rect">
            <a:avLst/>
          </a:prstGeom>
          <a:solidFill>
            <a:srgbClr val="FFFFFF"/>
          </a:solidFill>
          <a:ln w="9525" cmpd="sng">
            <a:noFill/>
          </a:ln>
        </xdr:spPr>
        <xdr:txBody>
          <a:bodyPr vertOverflow="clip" wrap="square"/>
          <a:p>
            <a:pPr algn="l">
              <a:defRPr/>
            </a:pPr>
            <a:r>
              <a:rPr lang="en-US" cap="none" sz="1200" b="1" i="0" u="none" baseline="0">
                <a:latin typeface="Times New Roman"/>
                <a:ea typeface="Times New Roman"/>
                <a:cs typeface="Times New Roman"/>
              </a:rPr>
              <a:t>A</a:t>
            </a:r>
          </a:p>
        </xdr:txBody>
      </xdr:sp>
      <xdr:sp>
        <xdr:nvSpPr>
          <xdr:cNvPr id="23" name="AutoShape 40"/>
          <xdr:cNvSpPr>
            <a:spLocks/>
          </xdr:cNvSpPr>
        </xdr:nvSpPr>
        <xdr:spPr>
          <a:xfrm rot="16200000">
            <a:off x="98" y="150"/>
            <a:ext cx="325" cy="174"/>
          </a:xfrm>
          <a:prstGeom prst="triangle">
            <a:avLst/>
          </a:prstGeom>
          <a:solidFill>
            <a:srgbClr val="FFFF99">
              <a:alpha val="50000"/>
            </a:srgbClr>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grpSp>
        <xdr:nvGrpSpPr>
          <xdr:cNvPr id="24" name="Group 52"/>
          <xdr:cNvGrpSpPr>
            <a:grpSpLocks/>
          </xdr:cNvGrpSpPr>
        </xdr:nvGrpSpPr>
        <xdr:grpSpPr>
          <a:xfrm>
            <a:off x="268" y="144"/>
            <a:ext cx="63" cy="187"/>
            <a:chOff x="262" y="130"/>
            <a:chExt cx="63" cy="187"/>
          </a:xfrm>
          <a:solidFill>
            <a:srgbClr val="FFFFFF"/>
          </a:solidFill>
        </xdr:grpSpPr>
        <xdr:sp>
          <xdr:nvSpPr>
            <xdr:cNvPr id="25" name="AutoShape 38"/>
            <xdr:cNvSpPr>
              <a:spLocks/>
            </xdr:cNvSpPr>
          </xdr:nvSpPr>
          <xdr:spPr>
            <a:xfrm>
              <a:off x="265" y="230"/>
              <a:ext cx="58" cy="87"/>
            </a:xfrm>
            <a:prstGeom prst="triangle">
              <a:avLst/>
            </a:prstGeom>
            <a:solidFill>
              <a:srgbClr val="FFCC00"/>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26" name="AutoShape 39"/>
            <xdr:cNvSpPr>
              <a:spLocks/>
            </xdr:cNvSpPr>
          </xdr:nvSpPr>
          <xdr:spPr>
            <a:xfrm flipV="1">
              <a:off x="262" y="130"/>
              <a:ext cx="63" cy="98"/>
            </a:xfrm>
            <a:prstGeom prst="triangle">
              <a:avLst/>
            </a:prstGeom>
            <a:solidFill>
              <a:srgbClr val="FFCC00"/>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27" name="TextBox 42"/>
          <xdr:cNvSpPr txBox="1">
            <a:spLocks noChangeArrowheads="1"/>
          </xdr:cNvSpPr>
        </xdr:nvSpPr>
        <xdr:spPr>
          <a:xfrm>
            <a:off x="233" y="343"/>
            <a:ext cx="41" cy="23"/>
          </a:xfrm>
          <a:prstGeom prst="rect">
            <a:avLst/>
          </a:prstGeom>
          <a:noFill/>
          <a:ln w="9525" cmpd="sng">
            <a:noFill/>
          </a:ln>
        </xdr:spPr>
        <xdr:txBody>
          <a:bodyPr vertOverflow="clip" wrap="square"/>
          <a:p>
            <a:pPr algn="l">
              <a:defRPr/>
            </a:pPr>
            <a:r>
              <a:rPr lang="en-US" cap="none" sz="1100" b="0" i="0" u="none" baseline="0">
                <a:latin typeface="Times New Roman"/>
                <a:ea typeface="Times New Roman"/>
                <a:cs typeface="Times New Roman"/>
              </a:rPr>
              <a:t>F1</a:t>
            </a:r>
            <a:r>
              <a:rPr lang="en-US" cap="none" sz="1100" b="0" i="0" u="none" baseline="-25000">
                <a:latin typeface="Times New Roman"/>
                <a:ea typeface="Times New Roman"/>
                <a:cs typeface="Times New Roman"/>
              </a:rPr>
              <a:t>t</a:t>
            </a:r>
          </a:p>
        </xdr:txBody>
      </xdr:sp>
      <xdr:grpSp>
        <xdr:nvGrpSpPr>
          <xdr:cNvPr id="28" name="Group 75"/>
          <xdr:cNvGrpSpPr>
            <a:grpSpLocks/>
          </xdr:cNvGrpSpPr>
        </xdr:nvGrpSpPr>
        <xdr:grpSpPr>
          <a:xfrm>
            <a:off x="189" y="346"/>
            <a:ext cx="234" cy="15"/>
            <a:chOff x="480" y="377"/>
            <a:chExt cx="234" cy="15"/>
          </a:xfrm>
          <a:solidFill>
            <a:srgbClr val="FFFFFF"/>
          </a:solidFill>
        </xdr:grpSpPr>
        <xdr:sp>
          <xdr:nvSpPr>
            <xdr:cNvPr id="29" name="Line 41"/>
            <xdr:cNvSpPr>
              <a:spLocks/>
            </xdr:cNvSpPr>
          </xdr:nvSpPr>
          <xdr:spPr>
            <a:xfrm>
              <a:off x="480" y="379"/>
              <a:ext cx="234"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30" name="TextBox 44"/>
            <xdr:cNvSpPr txBox="1">
              <a:spLocks noChangeArrowheads="1"/>
            </xdr:cNvSpPr>
          </xdr:nvSpPr>
          <xdr:spPr>
            <a:xfrm>
              <a:off x="579" y="377"/>
              <a:ext cx="39" cy="1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6 m</a:t>
              </a:r>
            </a:p>
          </xdr:txBody>
        </xdr:sp>
      </xdr:grpSp>
      <xdr:sp>
        <xdr:nvSpPr>
          <xdr:cNvPr id="31" name="Line 46"/>
          <xdr:cNvSpPr>
            <a:spLocks/>
          </xdr:cNvSpPr>
        </xdr:nvSpPr>
        <xdr:spPr>
          <a:xfrm flipH="1">
            <a:off x="429" y="147"/>
            <a:ext cx="0" cy="17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32" name="Line 51"/>
          <xdr:cNvSpPr>
            <a:spLocks/>
          </xdr:cNvSpPr>
        </xdr:nvSpPr>
        <xdr:spPr>
          <a:xfrm>
            <a:off x="387" y="280"/>
            <a:ext cx="5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3" name="AutoShape 53"/>
          <xdr:cNvSpPr>
            <a:spLocks/>
          </xdr:cNvSpPr>
        </xdr:nvSpPr>
        <xdr:spPr>
          <a:xfrm flipV="1">
            <a:off x="98" y="146"/>
            <a:ext cx="327" cy="91"/>
          </a:xfrm>
          <a:prstGeom prst="triangle">
            <a:avLst>
              <a:gd name="adj" fmla="val -50000"/>
            </a:avLst>
          </a:prstGeom>
          <a:solidFill>
            <a:srgbClr val="FFFF99">
              <a:alpha val="50000"/>
            </a:srgbClr>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34" name="TextBox 35"/>
          <xdr:cNvSpPr txBox="1">
            <a:spLocks noChangeArrowheads="1"/>
          </xdr:cNvSpPr>
        </xdr:nvSpPr>
        <xdr:spPr>
          <a:xfrm>
            <a:off x="360" y="106"/>
            <a:ext cx="106" cy="3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Haz primario</a:t>
            </a:r>
          </a:p>
        </xdr:txBody>
      </xdr:sp>
      <xdr:sp>
        <xdr:nvSpPr>
          <xdr:cNvPr id="35" name="AutoShape 56"/>
          <xdr:cNvSpPr>
            <a:spLocks/>
          </xdr:cNvSpPr>
        </xdr:nvSpPr>
        <xdr:spPr>
          <a:xfrm rot="839090" flipH="1" flipV="1">
            <a:off x="84" y="282"/>
            <a:ext cx="328" cy="52"/>
          </a:xfrm>
          <a:prstGeom prst="triangle">
            <a:avLst>
              <a:gd name="adj" fmla="val 17412"/>
            </a:avLst>
          </a:prstGeom>
          <a:solidFill>
            <a:srgbClr val="FFFF99">
              <a:alpha val="50000"/>
            </a:srgbClr>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sp>
        <xdr:nvSpPr>
          <xdr:cNvPr id="36" name="AutoShape 45"/>
          <xdr:cNvSpPr>
            <a:spLocks/>
          </xdr:cNvSpPr>
        </xdr:nvSpPr>
        <xdr:spPr>
          <a:xfrm rot="16200000">
            <a:off x="95" y="205"/>
            <a:ext cx="204" cy="84"/>
          </a:xfrm>
          <a:prstGeom prst="trapezoid">
            <a:avLst>
              <a:gd name="adj" fmla="val -13097"/>
            </a:avLst>
          </a:prstGeom>
          <a:solidFill>
            <a:srgbClr val="00FF00">
              <a:alpha val="50000"/>
            </a:srgbClr>
          </a:solidFill>
          <a:ln w="9525" cmpd="sng">
            <a:solidFill>
              <a:srgbClr val="00FF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7" name="TextBox 57"/>
          <xdr:cNvSpPr txBox="1">
            <a:spLocks noChangeArrowheads="1"/>
          </xdr:cNvSpPr>
        </xdr:nvSpPr>
        <xdr:spPr>
          <a:xfrm>
            <a:off x="103" y="179"/>
            <a:ext cx="21" cy="23"/>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B</a:t>
            </a:r>
          </a:p>
        </xdr:txBody>
      </xdr:sp>
      <xdr:sp>
        <xdr:nvSpPr>
          <xdr:cNvPr id="38" name="Line 50"/>
          <xdr:cNvSpPr>
            <a:spLocks/>
          </xdr:cNvSpPr>
        </xdr:nvSpPr>
        <xdr:spPr>
          <a:xfrm flipV="1">
            <a:off x="104" y="273"/>
            <a:ext cx="4" cy="13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39" name="Line 47"/>
          <xdr:cNvSpPr>
            <a:spLocks/>
          </xdr:cNvSpPr>
        </xdr:nvSpPr>
        <xdr:spPr>
          <a:xfrm rot="16200000" flipH="1">
            <a:off x="95" y="243"/>
            <a:ext cx="204"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40" name="TextBox 43"/>
          <xdr:cNvSpPr txBox="1">
            <a:spLocks noChangeArrowheads="1"/>
          </xdr:cNvSpPr>
        </xdr:nvSpPr>
        <xdr:spPr>
          <a:xfrm>
            <a:off x="142" y="229"/>
            <a:ext cx="29" cy="23"/>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 m</a:t>
            </a:r>
          </a:p>
        </xdr:txBody>
      </xdr:sp>
      <xdr:sp>
        <xdr:nvSpPr>
          <xdr:cNvPr id="41" name="TextBox 58"/>
          <xdr:cNvSpPr txBox="1">
            <a:spLocks noChangeArrowheads="1"/>
          </xdr:cNvSpPr>
        </xdr:nvSpPr>
        <xdr:spPr>
          <a:xfrm>
            <a:off x="429" y="221"/>
            <a:ext cx="41" cy="23"/>
          </a:xfrm>
          <a:prstGeom prst="rect">
            <a:avLst/>
          </a:prstGeom>
          <a:noFill/>
          <a:ln w="9525" cmpd="sng">
            <a:noFill/>
          </a:ln>
        </xdr:spPr>
        <xdr:txBody>
          <a:bodyPr vertOverflow="clip" wrap="square"/>
          <a:p>
            <a:pPr algn="l">
              <a:defRPr/>
            </a:pPr>
            <a:r>
              <a:rPr lang="en-US" cap="none" sz="1100" b="0" i="0" u="none" baseline="0">
                <a:latin typeface="Times New Roman"/>
                <a:ea typeface="Times New Roman"/>
                <a:cs typeface="Times New Roman"/>
              </a:rPr>
              <a:t>F2</a:t>
            </a:r>
            <a:r>
              <a:rPr lang="en-US" cap="none" sz="1100" b="0" i="0" u="none" baseline="-25000">
                <a:latin typeface="Times New Roman"/>
                <a:ea typeface="Times New Roman"/>
                <a:cs typeface="Times New Roman"/>
              </a:rPr>
              <a:t>t</a:t>
            </a:r>
          </a:p>
        </xdr:txBody>
      </xdr:sp>
      <xdr:sp>
        <xdr:nvSpPr>
          <xdr:cNvPr id="42" name="Line 59"/>
          <xdr:cNvSpPr>
            <a:spLocks/>
          </xdr:cNvSpPr>
        </xdr:nvSpPr>
        <xdr:spPr>
          <a:xfrm flipH="1">
            <a:off x="387" y="143"/>
            <a:ext cx="0" cy="17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43" name="Line 60"/>
          <xdr:cNvSpPr>
            <a:spLocks/>
          </xdr:cNvSpPr>
        </xdr:nvSpPr>
        <xdr:spPr>
          <a:xfrm>
            <a:off x="98" y="171"/>
            <a:ext cx="324"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44" name="TextBox 62"/>
          <xdr:cNvSpPr txBox="1">
            <a:spLocks noChangeArrowheads="1"/>
          </xdr:cNvSpPr>
        </xdr:nvSpPr>
        <xdr:spPr>
          <a:xfrm>
            <a:off x="387" y="225"/>
            <a:ext cx="40" cy="24"/>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 m</a:t>
            </a:r>
          </a:p>
        </xdr:txBody>
      </xdr:sp>
      <xdr:sp>
        <xdr:nvSpPr>
          <xdr:cNvPr id="45" name="TextBox 63"/>
          <xdr:cNvSpPr txBox="1">
            <a:spLocks noChangeArrowheads="1"/>
          </xdr:cNvSpPr>
        </xdr:nvSpPr>
        <xdr:spPr>
          <a:xfrm>
            <a:off x="208" y="170"/>
            <a:ext cx="40" cy="24"/>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8,5 m</a:t>
            </a:r>
          </a:p>
        </xdr:txBody>
      </xdr:sp>
      <xdr:sp>
        <xdr:nvSpPr>
          <xdr:cNvPr id="46" name="Line 49"/>
          <xdr:cNvSpPr>
            <a:spLocks/>
          </xdr:cNvSpPr>
        </xdr:nvSpPr>
        <xdr:spPr>
          <a:xfrm flipV="1">
            <a:off x="318" y="120"/>
            <a:ext cx="48" cy="4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47" name="Rectangle 74"/>
          <xdr:cNvSpPr>
            <a:spLocks/>
          </xdr:cNvSpPr>
        </xdr:nvSpPr>
        <xdr:spPr>
          <a:xfrm>
            <a:off x="186" y="326"/>
            <a:ext cx="236" cy="18"/>
          </a:xfrm>
          <a:prstGeom prst="rect">
            <a:avLst/>
          </a:prstGeom>
          <a:solidFill>
            <a:srgbClr val="808080">
              <a:alpha val="50000"/>
            </a:srgbClr>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17</xdr:row>
      <xdr:rowOff>28575</xdr:rowOff>
    </xdr:from>
    <xdr:to>
      <xdr:col>3</xdr:col>
      <xdr:colOff>733425</xdr:colOff>
      <xdr:row>18</xdr:row>
      <xdr:rowOff>152400</xdr:rowOff>
    </xdr:to>
    <xdr:sp>
      <xdr:nvSpPr>
        <xdr:cNvPr id="1" name="TextBox 2"/>
        <xdr:cNvSpPr txBox="1">
          <a:spLocks noChangeArrowheads="1"/>
        </xdr:cNvSpPr>
      </xdr:nvSpPr>
      <xdr:spPr>
        <a:xfrm>
          <a:off x="1800225" y="3467100"/>
          <a:ext cx="1038225" cy="3238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Puesto de control</a:t>
          </a:r>
        </a:p>
      </xdr:txBody>
    </xdr:sp>
    <xdr:clientData/>
  </xdr:twoCellAnchor>
  <xdr:twoCellAnchor>
    <xdr:from>
      <xdr:col>4</xdr:col>
      <xdr:colOff>38100</xdr:colOff>
      <xdr:row>16</xdr:row>
      <xdr:rowOff>152400</xdr:rowOff>
    </xdr:from>
    <xdr:to>
      <xdr:col>4</xdr:col>
      <xdr:colOff>238125</xdr:colOff>
      <xdr:row>17</xdr:row>
      <xdr:rowOff>133350</xdr:rowOff>
    </xdr:to>
    <xdr:sp>
      <xdr:nvSpPr>
        <xdr:cNvPr id="2" name="TextBox 3"/>
        <xdr:cNvSpPr txBox="1">
          <a:spLocks noChangeArrowheads="1"/>
        </xdr:cNvSpPr>
      </xdr:nvSpPr>
      <xdr:spPr>
        <a:xfrm>
          <a:off x="3114675" y="3390900"/>
          <a:ext cx="200025" cy="180975"/>
        </a:xfrm>
        <a:prstGeom prst="rect">
          <a:avLst/>
        </a:prstGeom>
        <a:solidFill>
          <a:srgbClr val="FFFFFF"/>
        </a:solidFill>
        <a:ln w="9525" cmpd="sng">
          <a:noFill/>
        </a:ln>
      </xdr:spPr>
      <xdr:txBody>
        <a:bodyPr vertOverflow="clip" wrap="square"/>
        <a:p>
          <a:pPr algn="l">
            <a:defRPr/>
          </a:pPr>
          <a:r>
            <a:rPr lang="en-US" cap="none" sz="1000" b="1" i="0" u="none" baseline="0">
              <a:latin typeface="Times New Roman"/>
              <a:ea typeface="Times New Roman"/>
              <a:cs typeface="Times New Roman"/>
            </a:rPr>
            <a:t>3</a:t>
          </a:r>
        </a:p>
      </xdr:txBody>
    </xdr:sp>
    <xdr:clientData/>
  </xdr:twoCellAnchor>
  <xdr:twoCellAnchor>
    <xdr:from>
      <xdr:col>2</xdr:col>
      <xdr:colOff>228600</xdr:colOff>
      <xdr:row>8</xdr:row>
      <xdr:rowOff>142875</xdr:rowOff>
    </xdr:from>
    <xdr:to>
      <xdr:col>4</xdr:col>
      <xdr:colOff>371475</xdr:colOff>
      <xdr:row>10</xdr:row>
      <xdr:rowOff>76200</xdr:rowOff>
    </xdr:to>
    <xdr:grpSp>
      <xdr:nvGrpSpPr>
        <xdr:cNvPr id="3" name="Group 4"/>
        <xdr:cNvGrpSpPr>
          <a:grpSpLocks/>
        </xdr:cNvGrpSpPr>
      </xdr:nvGrpSpPr>
      <xdr:grpSpPr>
        <a:xfrm>
          <a:off x="1495425" y="1781175"/>
          <a:ext cx="1952625" cy="333375"/>
          <a:chOff x="176" y="168"/>
          <a:chExt cx="179" cy="35"/>
        </a:xfrm>
        <a:solidFill>
          <a:srgbClr val="FFFFFF"/>
        </a:solidFill>
      </xdr:grpSpPr>
      <xdr:sp>
        <xdr:nvSpPr>
          <xdr:cNvPr id="4" name="Rectangle 5"/>
          <xdr:cNvSpPr>
            <a:spLocks/>
          </xdr:cNvSpPr>
        </xdr:nvSpPr>
        <xdr:spPr>
          <a:xfrm>
            <a:off x="176" y="168"/>
            <a:ext cx="121" cy="3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5" name="Group 6"/>
          <xdr:cNvGrpSpPr>
            <a:grpSpLocks/>
          </xdr:cNvGrpSpPr>
        </xdr:nvGrpSpPr>
        <xdr:grpSpPr>
          <a:xfrm>
            <a:off x="213" y="169"/>
            <a:ext cx="64" cy="30"/>
            <a:chOff x="213" y="169"/>
            <a:chExt cx="64" cy="30"/>
          </a:xfrm>
          <a:solidFill>
            <a:srgbClr val="FFFFFF"/>
          </a:solidFill>
        </xdr:grpSpPr>
        <xdr:sp>
          <xdr:nvSpPr>
            <xdr:cNvPr id="6" name="Oval 7"/>
            <xdr:cNvSpPr>
              <a:spLocks/>
            </xdr:cNvSpPr>
          </xdr:nvSpPr>
          <xdr:spPr>
            <a:xfrm>
              <a:off x="239" y="176"/>
              <a:ext cx="38" cy="18"/>
            </a:xfrm>
            <a:prstGeom prst="ellipse">
              <a:avLst/>
            </a:prstGeom>
            <a:solidFill>
              <a:srgbClr val="FF99CC"/>
            </a:solidFill>
            <a:ln w="9525" cmpd="sng">
              <a:solidFill>
                <a:srgbClr val="FF99CC"/>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Rectangle 8"/>
            <xdr:cNvSpPr>
              <a:spLocks/>
            </xdr:cNvSpPr>
          </xdr:nvSpPr>
          <xdr:spPr>
            <a:xfrm>
              <a:off x="213" y="177"/>
              <a:ext cx="30" cy="6"/>
            </a:xfrm>
            <a:prstGeom prst="rect">
              <a:avLst/>
            </a:prstGeom>
            <a:solidFill>
              <a:srgbClr val="FF99CC"/>
            </a:solidFill>
            <a:ln w="9525" cmpd="sng">
              <a:solidFill>
                <a:srgbClr val="FF99CC"/>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8" name="Rectangle 9"/>
            <xdr:cNvSpPr>
              <a:spLocks/>
            </xdr:cNvSpPr>
          </xdr:nvSpPr>
          <xdr:spPr>
            <a:xfrm>
              <a:off x="213" y="186"/>
              <a:ext cx="30" cy="6"/>
            </a:xfrm>
            <a:prstGeom prst="rect">
              <a:avLst/>
            </a:prstGeom>
            <a:solidFill>
              <a:srgbClr val="FF99CC"/>
            </a:solidFill>
            <a:ln w="9525" cmpd="sng">
              <a:solidFill>
                <a:srgbClr val="FF99CC"/>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9" name="Line 10"/>
            <xdr:cNvSpPr>
              <a:spLocks/>
            </xdr:cNvSpPr>
          </xdr:nvSpPr>
          <xdr:spPr>
            <a:xfrm flipH="1" flipV="1">
              <a:off x="256" y="169"/>
              <a:ext cx="14" cy="9"/>
            </a:xfrm>
            <a:prstGeom prst="line">
              <a:avLst/>
            </a:prstGeom>
            <a:noFill/>
            <a:ln w="28575" cmpd="sng">
              <a:solidFill>
                <a:srgbClr val="FF99CC"/>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0" name="Line 11"/>
            <xdr:cNvSpPr>
              <a:spLocks/>
            </xdr:cNvSpPr>
          </xdr:nvSpPr>
          <xdr:spPr>
            <a:xfrm flipH="1">
              <a:off x="252" y="191"/>
              <a:ext cx="19" cy="8"/>
            </a:xfrm>
            <a:prstGeom prst="line">
              <a:avLst/>
            </a:prstGeom>
            <a:noFill/>
            <a:ln w="28575" cmpd="sng">
              <a:solidFill>
                <a:srgbClr val="FF99CC"/>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grpSp>
        <xdr:nvGrpSpPr>
          <xdr:cNvPr id="11" name="Group 12"/>
          <xdr:cNvGrpSpPr>
            <a:grpSpLocks/>
          </xdr:cNvGrpSpPr>
        </xdr:nvGrpSpPr>
        <xdr:grpSpPr>
          <a:xfrm>
            <a:off x="273" y="168"/>
            <a:ext cx="82" cy="35"/>
            <a:chOff x="265" y="145"/>
            <a:chExt cx="82" cy="35"/>
          </a:xfrm>
          <a:solidFill>
            <a:srgbClr val="FFFFFF"/>
          </a:solidFill>
        </xdr:grpSpPr>
        <xdr:sp>
          <xdr:nvSpPr>
            <xdr:cNvPr id="12" name="Oval 13"/>
            <xdr:cNvSpPr>
              <a:spLocks/>
            </xdr:cNvSpPr>
          </xdr:nvSpPr>
          <xdr:spPr>
            <a:xfrm>
              <a:off x="265" y="147"/>
              <a:ext cx="39" cy="30"/>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3" name="Rectangle 14"/>
            <xdr:cNvSpPr>
              <a:spLocks/>
            </xdr:cNvSpPr>
          </xdr:nvSpPr>
          <xdr:spPr>
            <a:xfrm>
              <a:off x="286" y="145"/>
              <a:ext cx="61" cy="3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grpSp>
    <xdr:clientData/>
  </xdr:twoCellAnchor>
  <xdr:twoCellAnchor>
    <xdr:from>
      <xdr:col>1</xdr:col>
      <xdr:colOff>276225</xdr:colOff>
      <xdr:row>4</xdr:row>
      <xdr:rowOff>142875</xdr:rowOff>
    </xdr:from>
    <xdr:to>
      <xdr:col>1</xdr:col>
      <xdr:colOff>276225</xdr:colOff>
      <xdr:row>16</xdr:row>
      <xdr:rowOff>114300</xdr:rowOff>
    </xdr:to>
    <xdr:sp>
      <xdr:nvSpPr>
        <xdr:cNvPr id="14" name="Line 15"/>
        <xdr:cNvSpPr>
          <a:spLocks/>
        </xdr:cNvSpPr>
      </xdr:nvSpPr>
      <xdr:spPr>
        <a:xfrm>
          <a:off x="704850" y="981075"/>
          <a:ext cx="0" cy="23717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38100</xdr:colOff>
      <xdr:row>4</xdr:row>
      <xdr:rowOff>123825</xdr:rowOff>
    </xdr:from>
    <xdr:to>
      <xdr:col>5</xdr:col>
      <xdr:colOff>38100</xdr:colOff>
      <xdr:row>16</xdr:row>
      <xdr:rowOff>95250</xdr:rowOff>
    </xdr:to>
    <xdr:sp>
      <xdr:nvSpPr>
        <xdr:cNvPr id="15" name="Line 16"/>
        <xdr:cNvSpPr>
          <a:spLocks/>
        </xdr:cNvSpPr>
      </xdr:nvSpPr>
      <xdr:spPr>
        <a:xfrm flipH="1">
          <a:off x="3952875" y="962025"/>
          <a:ext cx="0" cy="23717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276225</xdr:colOff>
      <xdr:row>4</xdr:row>
      <xdr:rowOff>133350</xdr:rowOff>
    </xdr:from>
    <xdr:to>
      <xdr:col>5</xdr:col>
      <xdr:colOff>38100</xdr:colOff>
      <xdr:row>4</xdr:row>
      <xdr:rowOff>133350</xdr:rowOff>
    </xdr:to>
    <xdr:sp>
      <xdr:nvSpPr>
        <xdr:cNvPr id="16" name="Line 17"/>
        <xdr:cNvSpPr>
          <a:spLocks/>
        </xdr:cNvSpPr>
      </xdr:nvSpPr>
      <xdr:spPr>
        <a:xfrm>
          <a:off x="704850" y="971550"/>
          <a:ext cx="32480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276225</xdr:colOff>
      <xdr:row>16</xdr:row>
      <xdr:rowOff>104775</xdr:rowOff>
    </xdr:from>
    <xdr:to>
      <xdr:col>3</xdr:col>
      <xdr:colOff>828675</xdr:colOff>
      <xdr:row>16</xdr:row>
      <xdr:rowOff>104775</xdr:rowOff>
    </xdr:to>
    <xdr:sp>
      <xdr:nvSpPr>
        <xdr:cNvPr id="17" name="Line 18"/>
        <xdr:cNvSpPr>
          <a:spLocks/>
        </xdr:cNvSpPr>
      </xdr:nvSpPr>
      <xdr:spPr>
        <a:xfrm>
          <a:off x="704850" y="3343275"/>
          <a:ext cx="2228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542925</xdr:colOff>
      <xdr:row>4</xdr:row>
      <xdr:rowOff>161925</xdr:rowOff>
    </xdr:from>
    <xdr:to>
      <xdr:col>3</xdr:col>
      <xdr:colOff>28575</xdr:colOff>
      <xdr:row>5</xdr:row>
      <xdr:rowOff>171450</xdr:rowOff>
    </xdr:to>
    <xdr:sp>
      <xdr:nvSpPr>
        <xdr:cNvPr id="18" name="TextBox 21"/>
        <xdr:cNvSpPr txBox="1">
          <a:spLocks noChangeArrowheads="1"/>
        </xdr:cNvSpPr>
      </xdr:nvSpPr>
      <xdr:spPr>
        <a:xfrm>
          <a:off x="1809750" y="1000125"/>
          <a:ext cx="323850" cy="209550"/>
        </a:xfrm>
        <a:prstGeom prst="rect">
          <a:avLst/>
        </a:prstGeom>
        <a:solidFill>
          <a:srgbClr val="FFFFFF"/>
        </a:solidFill>
        <a:ln w="9525" cmpd="sng">
          <a:noFill/>
        </a:ln>
      </xdr:spPr>
      <xdr:txBody>
        <a:bodyPr vertOverflow="clip" wrap="square"/>
        <a:p>
          <a:pPr algn="l">
            <a:defRPr/>
          </a:pPr>
          <a:r>
            <a:rPr lang="en-US" cap="none" sz="1200" b="1" i="0" u="none" baseline="0">
              <a:latin typeface="Times New Roman"/>
              <a:ea typeface="Times New Roman"/>
              <a:cs typeface="Times New Roman"/>
            </a:rPr>
            <a:t>A</a:t>
          </a:r>
        </a:p>
      </xdr:txBody>
    </xdr:sp>
    <xdr:clientData/>
  </xdr:twoCellAnchor>
  <xdr:twoCellAnchor>
    <xdr:from>
      <xdr:col>1</xdr:col>
      <xdr:colOff>333375</xdr:colOff>
      <xdr:row>6</xdr:row>
      <xdr:rowOff>66675</xdr:rowOff>
    </xdr:from>
    <xdr:to>
      <xdr:col>1</xdr:col>
      <xdr:colOff>533400</xdr:colOff>
      <xdr:row>7</xdr:row>
      <xdr:rowOff>85725</xdr:rowOff>
    </xdr:to>
    <xdr:sp>
      <xdr:nvSpPr>
        <xdr:cNvPr id="19" name="TextBox 36"/>
        <xdr:cNvSpPr txBox="1">
          <a:spLocks noChangeArrowheads="1"/>
        </xdr:cNvSpPr>
      </xdr:nvSpPr>
      <xdr:spPr>
        <a:xfrm>
          <a:off x="762000" y="1304925"/>
          <a:ext cx="200025" cy="219075"/>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B</a:t>
          </a:r>
        </a:p>
      </xdr:txBody>
    </xdr:sp>
    <xdr:clientData/>
  </xdr:twoCellAnchor>
  <xdr:twoCellAnchor>
    <xdr:from>
      <xdr:col>4</xdr:col>
      <xdr:colOff>523875</xdr:colOff>
      <xdr:row>4</xdr:row>
      <xdr:rowOff>123825</xdr:rowOff>
    </xdr:from>
    <xdr:to>
      <xdr:col>4</xdr:col>
      <xdr:colOff>523875</xdr:colOff>
      <xdr:row>13</xdr:row>
      <xdr:rowOff>28575</xdr:rowOff>
    </xdr:to>
    <xdr:sp>
      <xdr:nvSpPr>
        <xdr:cNvPr id="20" name="Line 41"/>
        <xdr:cNvSpPr>
          <a:spLocks/>
        </xdr:cNvSpPr>
      </xdr:nvSpPr>
      <xdr:spPr>
        <a:xfrm flipH="1">
          <a:off x="3600450" y="962025"/>
          <a:ext cx="0" cy="17049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285750</xdr:colOff>
      <xdr:row>5</xdr:row>
      <xdr:rowOff>190500</xdr:rowOff>
    </xdr:from>
    <xdr:to>
      <xdr:col>5</xdr:col>
      <xdr:colOff>19050</xdr:colOff>
      <xdr:row>5</xdr:row>
      <xdr:rowOff>190500</xdr:rowOff>
    </xdr:to>
    <xdr:sp>
      <xdr:nvSpPr>
        <xdr:cNvPr id="21" name="Line 42"/>
        <xdr:cNvSpPr>
          <a:spLocks/>
        </xdr:cNvSpPr>
      </xdr:nvSpPr>
      <xdr:spPr>
        <a:xfrm>
          <a:off x="714375" y="1228725"/>
          <a:ext cx="32194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523875</xdr:colOff>
      <xdr:row>8</xdr:row>
      <xdr:rowOff>104775</xdr:rowOff>
    </xdr:from>
    <xdr:to>
      <xdr:col>5</xdr:col>
      <xdr:colOff>66675</xdr:colOff>
      <xdr:row>9</xdr:row>
      <xdr:rowOff>133350</xdr:rowOff>
    </xdr:to>
    <xdr:sp>
      <xdr:nvSpPr>
        <xdr:cNvPr id="22" name="TextBox 43"/>
        <xdr:cNvSpPr txBox="1">
          <a:spLocks noChangeArrowheads="1"/>
        </xdr:cNvSpPr>
      </xdr:nvSpPr>
      <xdr:spPr>
        <a:xfrm>
          <a:off x="3600450" y="1743075"/>
          <a:ext cx="3810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5 m</a:t>
          </a:r>
        </a:p>
      </xdr:txBody>
    </xdr:sp>
    <xdr:clientData/>
  </xdr:twoCellAnchor>
  <xdr:twoCellAnchor>
    <xdr:from>
      <xdr:col>2</xdr:col>
      <xdr:colOff>495300</xdr:colOff>
      <xdr:row>5</xdr:row>
      <xdr:rowOff>180975</xdr:rowOff>
    </xdr:from>
    <xdr:to>
      <xdr:col>3</xdr:col>
      <xdr:colOff>38100</xdr:colOff>
      <xdr:row>7</xdr:row>
      <xdr:rowOff>9525</xdr:rowOff>
    </xdr:to>
    <xdr:sp>
      <xdr:nvSpPr>
        <xdr:cNvPr id="23" name="TextBox 44"/>
        <xdr:cNvSpPr txBox="1">
          <a:spLocks noChangeArrowheads="1"/>
        </xdr:cNvSpPr>
      </xdr:nvSpPr>
      <xdr:spPr>
        <a:xfrm>
          <a:off x="1762125" y="1219200"/>
          <a:ext cx="381000"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8,5 m</a:t>
          </a:r>
        </a:p>
      </xdr:txBody>
    </xdr:sp>
    <xdr:clientData/>
  </xdr:twoCellAnchor>
  <xdr:twoCellAnchor>
    <xdr:from>
      <xdr:col>3</xdr:col>
      <xdr:colOff>895350</xdr:colOff>
      <xdr:row>15</xdr:row>
      <xdr:rowOff>190500</xdr:rowOff>
    </xdr:from>
    <xdr:to>
      <xdr:col>5</xdr:col>
      <xdr:colOff>28575</xdr:colOff>
      <xdr:row>16</xdr:row>
      <xdr:rowOff>104775</xdr:rowOff>
    </xdr:to>
    <xdr:sp>
      <xdr:nvSpPr>
        <xdr:cNvPr id="24" name="Rectangle 20"/>
        <xdr:cNvSpPr>
          <a:spLocks/>
        </xdr:cNvSpPr>
      </xdr:nvSpPr>
      <xdr:spPr>
        <a:xfrm rot="718449">
          <a:off x="3000375" y="3228975"/>
          <a:ext cx="942975" cy="114300"/>
        </a:xfrm>
        <a:prstGeom prst="rect">
          <a:avLst/>
        </a:prstGeom>
        <a:solidFill>
          <a:srgbClr val="993366"/>
        </a:solidFill>
        <a:ln w="9525" cmpd="sng">
          <a:solidFill>
            <a:srgbClr val="993366"/>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276225</xdr:colOff>
      <xdr:row>9</xdr:row>
      <xdr:rowOff>161925</xdr:rowOff>
    </xdr:from>
    <xdr:to>
      <xdr:col>3</xdr:col>
      <xdr:colOff>781050</xdr:colOff>
      <xdr:row>16</xdr:row>
      <xdr:rowOff>85725</xdr:rowOff>
    </xdr:to>
    <xdr:grpSp>
      <xdr:nvGrpSpPr>
        <xdr:cNvPr id="25" name="Group 59"/>
        <xdr:cNvGrpSpPr>
          <a:grpSpLocks/>
        </xdr:cNvGrpSpPr>
      </xdr:nvGrpSpPr>
      <xdr:grpSpPr>
        <a:xfrm>
          <a:off x="276225" y="2000250"/>
          <a:ext cx="2609850" cy="1323975"/>
          <a:chOff x="69" y="208"/>
          <a:chExt cx="293" cy="139"/>
        </a:xfrm>
        <a:solidFill>
          <a:srgbClr val="FFFFFF"/>
        </a:solidFill>
      </xdr:grpSpPr>
      <xdr:sp>
        <xdr:nvSpPr>
          <xdr:cNvPr id="26" name="AutoShape 56"/>
          <xdr:cNvSpPr>
            <a:spLocks/>
          </xdr:cNvSpPr>
        </xdr:nvSpPr>
        <xdr:spPr>
          <a:xfrm rot="8632197" flipV="1">
            <a:off x="69" y="208"/>
            <a:ext cx="258" cy="71"/>
          </a:xfrm>
          <a:prstGeom prst="triangle">
            <a:avLst>
              <a:gd name="adj" fmla="val 28175"/>
            </a:avLst>
          </a:prstGeom>
          <a:solidFill>
            <a:srgbClr val="00FFFF">
              <a:alpha val="50000"/>
            </a:srgbClr>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7" name="AutoShape 57"/>
          <xdr:cNvSpPr>
            <a:spLocks/>
          </xdr:cNvSpPr>
        </xdr:nvSpPr>
        <xdr:spPr>
          <a:xfrm>
            <a:off x="118" y="259"/>
            <a:ext cx="244" cy="88"/>
          </a:xfrm>
          <a:prstGeom prst="rtTriangle">
            <a:avLst/>
          </a:prstGeom>
          <a:solidFill>
            <a:srgbClr val="00FFFF">
              <a:alpha val="50000"/>
            </a:srgbClr>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5</xdr:col>
      <xdr:colOff>28575</xdr:colOff>
      <xdr:row>18</xdr:row>
      <xdr:rowOff>85725</xdr:rowOff>
    </xdr:from>
    <xdr:to>
      <xdr:col>7</xdr:col>
      <xdr:colOff>314325</xdr:colOff>
      <xdr:row>20</xdr:row>
      <xdr:rowOff>0</xdr:rowOff>
    </xdr:to>
    <xdr:sp>
      <xdr:nvSpPr>
        <xdr:cNvPr id="28" name="TextBox 58"/>
        <xdr:cNvSpPr txBox="1">
          <a:spLocks noChangeArrowheads="1"/>
        </xdr:cNvSpPr>
      </xdr:nvSpPr>
      <xdr:spPr>
        <a:xfrm>
          <a:off x="3943350" y="3724275"/>
          <a:ext cx="1809750" cy="314325"/>
        </a:xfrm>
        <a:prstGeom prst="rect">
          <a:avLst/>
        </a:prstGeom>
        <a:solidFill>
          <a:srgbClr val="00FFFF">
            <a:alpha val="50000"/>
          </a:srgbClr>
        </a:solidFill>
        <a:ln w="9525" cmpd="sng">
          <a:noFill/>
        </a:ln>
      </xdr:spPr>
      <xdr:txBody>
        <a:bodyPr vertOverflow="clip" wrap="square"/>
        <a:p>
          <a:pPr algn="l">
            <a:defRPr/>
          </a:pPr>
          <a:r>
            <a:rPr lang="en-US" cap="none" sz="1000" b="1" i="0" u="none" baseline="0">
              <a:solidFill>
                <a:srgbClr val="003300"/>
              </a:solidFill>
              <a:latin typeface="Times New Roman"/>
              <a:ea typeface="Times New Roman"/>
              <a:cs typeface="Times New Roman"/>
            </a:rPr>
            <a:t>Radiación dispersa de neutrones y terciaria</a:t>
          </a:r>
        </a:p>
      </xdr:txBody>
    </xdr:sp>
    <xdr:clientData/>
  </xdr:twoCellAnchor>
  <xdr:twoCellAnchor>
    <xdr:from>
      <xdr:col>3</xdr:col>
      <xdr:colOff>219075</xdr:colOff>
      <xdr:row>16</xdr:row>
      <xdr:rowOff>28575</xdr:rowOff>
    </xdr:from>
    <xdr:to>
      <xdr:col>5</xdr:col>
      <xdr:colOff>123825</xdr:colOff>
      <xdr:row>18</xdr:row>
      <xdr:rowOff>123825</xdr:rowOff>
    </xdr:to>
    <xdr:sp>
      <xdr:nvSpPr>
        <xdr:cNvPr id="29" name="Line 60"/>
        <xdr:cNvSpPr>
          <a:spLocks/>
        </xdr:cNvSpPr>
      </xdr:nvSpPr>
      <xdr:spPr>
        <a:xfrm flipH="1" flipV="1">
          <a:off x="2324100" y="3267075"/>
          <a:ext cx="171450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304800</xdr:colOff>
      <xdr:row>15</xdr:row>
      <xdr:rowOff>9525</xdr:rowOff>
    </xdr:from>
    <xdr:to>
      <xdr:col>5</xdr:col>
      <xdr:colOff>38100</xdr:colOff>
      <xdr:row>15</xdr:row>
      <xdr:rowOff>9525</xdr:rowOff>
    </xdr:to>
    <xdr:sp>
      <xdr:nvSpPr>
        <xdr:cNvPr id="30" name="Line 63"/>
        <xdr:cNvSpPr>
          <a:spLocks/>
        </xdr:cNvSpPr>
      </xdr:nvSpPr>
      <xdr:spPr>
        <a:xfrm>
          <a:off x="1571625" y="3048000"/>
          <a:ext cx="23812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552450</xdr:colOff>
      <xdr:row>13</xdr:row>
      <xdr:rowOff>190500</xdr:rowOff>
    </xdr:from>
    <xdr:to>
      <xdr:col>3</xdr:col>
      <xdr:colOff>9525</xdr:colOff>
      <xdr:row>15</xdr:row>
      <xdr:rowOff>19050</xdr:rowOff>
    </xdr:to>
    <xdr:sp>
      <xdr:nvSpPr>
        <xdr:cNvPr id="31" name="TextBox 64"/>
        <xdr:cNvSpPr txBox="1">
          <a:spLocks noChangeArrowheads="1"/>
        </xdr:cNvSpPr>
      </xdr:nvSpPr>
      <xdr:spPr>
        <a:xfrm>
          <a:off x="1819275" y="2828925"/>
          <a:ext cx="295275"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 </a:t>
          </a:r>
          <a:r>
            <a:rPr lang="en-US" cap="none" sz="1200" b="0" i="0" u="none" baseline="0">
              <a:latin typeface="Times New Roman"/>
              <a:ea typeface="Times New Roman"/>
              <a:cs typeface="Times New Roman"/>
            </a:rPr>
            <a:t>m</a:t>
          </a:r>
        </a:p>
      </xdr:txBody>
    </xdr:sp>
    <xdr:clientData/>
  </xdr:twoCellAnchor>
  <xdr:twoCellAnchor>
    <xdr:from>
      <xdr:col>2</xdr:col>
      <xdr:colOff>523875</xdr:colOff>
      <xdr:row>13</xdr:row>
      <xdr:rowOff>123825</xdr:rowOff>
    </xdr:from>
    <xdr:to>
      <xdr:col>2</xdr:col>
      <xdr:colOff>523875</xdr:colOff>
      <xdr:row>16</xdr:row>
      <xdr:rowOff>66675</xdr:rowOff>
    </xdr:to>
    <xdr:sp>
      <xdr:nvSpPr>
        <xdr:cNvPr id="32" name="Line 65"/>
        <xdr:cNvSpPr>
          <a:spLocks/>
        </xdr:cNvSpPr>
      </xdr:nvSpPr>
      <xdr:spPr>
        <a:xfrm>
          <a:off x="1790700" y="2762250"/>
          <a:ext cx="0" cy="5429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533400</xdr:colOff>
      <xdr:row>14</xdr:row>
      <xdr:rowOff>9525</xdr:rowOff>
    </xdr:from>
    <xdr:to>
      <xdr:col>3</xdr:col>
      <xdr:colOff>828675</xdr:colOff>
      <xdr:row>15</xdr:row>
      <xdr:rowOff>38100</xdr:rowOff>
    </xdr:to>
    <xdr:sp>
      <xdr:nvSpPr>
        <xdr:cNvPr id="33" name="TextBox 66"/>
        <xdr:cNvSpPr txBox="1">
          <a:spLocks noChangeArrowheads="1"/>
        </xdr:cNvSpPr>
      </xdr:nvSpPr>
      <xdr:spPr>
        <a:xfrm>
          <a:off x="2638425" y="2847975"/>
          <a:ext cx="295275" cy="2286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6 </a:t>
          </a:r>
          <a:r>
            <a:rPr lang="en-US" cap="none" sz="1200" b="0" i="0" u="none" baseline="0">
              <a:latin typeface="Times New Roman"/>
              <a:ea typeface="Times New Roman"/>
              <a:cs typeface="Times New Roman"/>
            </a:rPr>
            <a:t>m</a:t>
          </a:r>
        </a:p>
      </xdr:txBody>
    </xdr:sp>
    <xdr:clientData/>
  </xdr:twoCellAnchor>
  <xdr:twoCellAnchor>
    <xdr:from>
      <xdr:col>2</xdr:col>
      <xdr:colOff>295275</xdr:colOff>
      <xdr:row>12</xdr:row>
      <xdr:rowOff>190500</xdr:rowOff>
    </xdr:from>
    <xdr:to>
      <xdr:col>5</xdr:col>
      <xdr:colOff>28575</xdr:colOff>
      <xdr:row>13</xdr:row>
      <xdr:rowOff>161925</xdr:rowOff>
    </xdr:to>
    <xdr:sp>
      <xdr:nvSpPr>
        <xdr:cNvPr id="34" name="Rectangle 67"/>
        <xdr:cNvSpPr>
          <a:spLocks/>
        </xdr:cNvSpPr>
      </xdr:nvSpPr>
      <xdr:spPr>
        <a:xfrm>
          <a:off x="1562100" y="2628900"/>
          <a:ext cx="2381250" cy="171450"/>
        </a:xfrm>
        <a:prstGeom prst="rect">
          <a:avLst/>
        </a:prstGeom>
        <a:solidFill>
          <a:srgbClr val="808080">
            <a:alpha val="50000"/>
          </a:srgbClr>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314325</xdr:colOff>
      <xdr:row>12</xdr:row>
      <xdr:rowOff>123825</xdr:rowOff>
    </xdr:from>
    <xdr:to>
      <xdr:col>1</xdr:col>
      <xdr:colOff>123825</xdr:colOff>
      <xdr:row>13</xdr:row>
      <xdr:rowOff>180975</xdr:rowOff>
    </xdr:to>
    <xdr:sp>
      <xdr:nvSpPr>
        <xdr:cNvPr id="35" name="TextBox 68"/>
        <xdr:cNvSpPr txBox="1">
          <a:spLocks noChangeArrowheads="1"/>
        </xdr:cNvSpPr>
      </xdr:nvSpPr>
      <xdr:spPr>
        <a:xfrm>
          <a:off x="314325" y="2562225"/>
          <a:ext cx="238125" cy="257175"/>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F</a:t>
          </a:r>
          <a:r>
            <a:rPr lang="en-US" cap="none" sz="1200" b="0" i="0" u="none" baseline="-25000">
              <a:latin typeface="Times New Roman"/>
              <a:ea typeface="Times New Roman"/>
              <a:cs typeface="Times New Roman"/>
            </a:rPr>
            <a:t>t</a:t>
          </a:r>
        </a:p>
      </xdr:txBody>
    </xdr:sp>
    <xdr:clientData/>
  </xdr:twoCellAnchor>
  <xdr:twoCellAnchor>
    <xdr:from>
      <xdr:col>1</xdr:col>
      <xdr:colOff>200025</xdr:colOff>
      <xdr:row>12</xdr:row>
      <xdr:rowOff>38100</xdr:rowOff>
    </xdr:from>
    <xdr:to>
      <xdr:col>1</xdr:col>
      <xdr:colOff>200025</xdr:colOff>
      <xdr:row>16</xdr:row>
      <xdr:rowOff>95250</xdr:rowOff>
    </xdr:to>
    <xdr:sp>
      <xdr:nvSpPr>
        <xdr:cNvPr id="36" name="Line 69"/>
        <xdr:cNvSpPr>
          <a:spLocks/>
        </xdr:cNvSpPr>
      </xdr:nvSpPr>
      <xdr:spPr>
        <a:xfrm>
          <a:off x="628650" y="2476500"/>
          <a:ext cx="0" cy="8572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409575</xdr:colOff>
      <xdr:row>13</xdr:row>
      <xdr:rowOff>152400</xdr:rowOff>
    </xdr:from>
    <xdr:to>
      <xdr:col>1</xdr:col>
      <xdr:colOff>257175</xdr:colOff>
      <xdr:row>14</xdr:row>
      <xdr:rowOff>152400</xdr:rowOff>
    </xdr:to>
    <xdr:sp>
      <xdr:nvSpPr>
        <xdr:cNvPr id="37" name="TextBox 70"/>
        <xdr:cNvSpPr txBox="1">
          <a:spLocks noChangeArrowheads="1"/>
        </xdr:cNvSpPr>
      </xdr:nvSpPr>
      <xdr:spPr>
        <a:xfrm>
          <a:off x="409575" y="2790825"/>
          <a:ext cx="276225" cy="200025"/>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 m</a:t>
          </a:r>
        </a:p>
      </xdr:txBody>
    </xdr:sp>
    <xdr:clientData/>
  </xdr:twoCellAnchor>
  <xdr:twoCellAnchor>
    <xdr:from>
      <xdr:col>1</xdr:col>
      <xdr:colOff>285750</xdr:colOff>
      <xdr:row>9</xdr:row>
      <xdr:rowOff>95250</xdr:rowOff>
    </xdr:from>
    <xdr:to>
      <xdr:col>3</xdr:col>
      <xdr:colOff>438150</xdr:colOff>
      <xdr:row>14</xdr:row>
      <xdr:rowOff>38100</xdr:rowOff>
    </xdr:to>
    <xdr:sp>
      <xdr:nvSpPr>
        <xdr:cNvPr id="38" name="Line 71"/>
        <xdr:cNvSpPr>
          <a:spLocks/>
        </xdr:cNvSpPr>
      </xdr:nvSpPr>
      <xdr:spPr>
        <a:xfrm flipH="1">
          <a:off x="714375" y="1933575"/>
          <a:ext cx="1828800" cy="942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333375</xdr:colOff>
      <xdr:row>14</xdr:row>
      <xdr:rowOff>47625</xdr:rowOff>
    </xdr:from>
    <xdr:to>
      <xdr:col>3</xdr:col>
      <xdr:colOff>809625</xdr:colOff>
      <xdr:row>16</xdr:row>
      <xdr:rowOff>85725</xdr:rowOff>
    </xdr:to>
    <xdr:sp>
      <xdr:nvSpPr>
        <xdr:cNvPr id="39" name="Line 72"/>
        <xdr:cNvSpPr>
          <a:spLocks/>
        </xdr:cNvSpPr>
      </xdr:nvSpPr>
      <xdr:spPr>
        <a:xfrm>
          <a:off x="762000" y="2886075"/>
          <a:ext cx="2152650" cy="4381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142875</xdr:colOff>
      <xdr:row>11</xdr:row>
      <xdr:rowOff>38100</xdr:rowOff>
    </xdr:from>
    <xdr:to>
      <xdr:col>2</xdr:col>
      <xdr:colOff>495300</xdr:colOff>
      <xdr:row>12</xdr:row>
      <xdr:rowOff>47625</xdr:rowOff>
    </xdr:to>
    <xdr:sp>
      <xdr:nvSpPr>
        <xdr:cNvPr id="40" name="TextBox 73"/>
        <xdr:cNvSpPr txBox="1">
          <a:spLocks noChangeArrowheads="1"/>
        </xdr:cNvSpPr>
      </xdr:nvSpPr>
      <xdr:spPr>
        <a:xfrm>
          <a:off x="1409700" y="2276475"/>
          <a:ext cx="352425" cy="209550"/>
        </a:xfrm>
        <a:prstGeom prst="rect">
          <a:avLst/>
        </a:prstGeom>
        <a:noFill/>
        <a:ln w="9525" cmpd="sng">
          <a:noFill/>
        </a:ln>
      </xdr:spPr>
      <xdr:txBody>
        <a:bodyPr vertOverflow="clip" wrap="square"/>
        <a:p>
          <a:pPr algn="l">
            <a:defRPr/>
          </a:pPr>
          <a:r>
            <a:rPr lang="en-US" cap="none" sz="1000" b="0" i="0" u="none" baseline="0">
              <a:solidFill>
                <a:srgbClr val="FF0000"/>
              </a:solidFill>
              <a:latin typeface="Times New Roman"/>
              <a:ea typeface="Times New Roman"/>
              <a:cs typeface="Times New Roman"/>
            </a:rPr>
            <a:t>5,5 m</a:t>
          </a:r>
        </a:p>
      </xdr:txBody>
    </xdr:sp>
    <xdr:clientData/>
  </xdr:twoCellAnchor>
  <xdr:twoCellAnchor>
    <xdr:from>
      <xdr:col>1</xdr:col>
      <xdr:colOff>704850</xdr:colOff>
      <xdr:row>14</xdr:row>
      <xdr:rowOff>152400</xdr:rowOff>
    </xdr:from>
    <xdr:to>
      <xdr:col>2</xdr:col>
      <xdr:colOff>219075</xdr:colOff>
      <xdr:row>15</xdr:row>
      <xdr:rowOff>161925</xdr:rowOff>
    </xdr:to>
    <xdr:sp>
      <xdr:nvSpPr>
        <xdr:cNvPr id="41" name="TextBox 74"/>
        <xdr:cNvSpPr txBox="1">
          <a:spLocks noChangeArrowheads="1"/>
        </xdr:cNvSpPr>
      </xdr:nvSpPr>
      <xdr:spPr>
        <a:xfrm>
          <a:off x="1133475" y="2990850"/>
          <a:ext cx="352425" cy="209550"/>
        </a:xfrm>
        <a:prstGeom prst="rect">
          <a:avLst/>
        </a:prstGeom>
        <a:noFill/>
        <a:ln w="9525" cmpd="sng">
          <a:noFill/>
        </a:ln>
      </xdr:spPr>
      <xdr:txBody>
        <a:bodyPr vertOverflow="clip" wrap="square"/>
        <a:p>
          <a:pPr algn="l">
            <a:defRPr/>
          </a:pPr>
          <a:r>
            <a:rPr lang="en-US" cap="none" sz="1000" b="0" i="0" u="none" baseline="0">
              <a:solidFill>
                <a:srgbClr val="FF0000"/>
              </a:solidFill>
              <a:latin typeface="Times New Roman"/>
              <a:ea typeface="Times New Roman"/>
              <a:cs typeface="Times New Roman"/>
            </a:rPr>
            <a:t>5,8 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rivasb@salud.aragon.es" TargetMode="External" /><Relationship Id="rId2" Type="http://schemas.openxmlformats.org/officeDocument/2006/relationships/hyperlink" Target="mailto:pruizm@salud.aragon.es"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dimension ref="A2:I47"/>
  <sheetViews>
    <sheetView showGridLines="0" showRowColHeaders="0" zoomScaleSheetLayoutView="100" workbookViewId="0" topLeftCell="A10">
      <selection activeCell="E17" sqref="E17"/>
    </sheetView>
  </sheetViews>
  <sheetFormatPr defaultColWidth="11.00390625" defaultRowHeight="15.75"/>
  <cols>
    <col min="1" max="1" width="5.625" style="0" customWidth="1"/>
    <col min="4" max="5" width="15.625" style="0" customWidth="1"/>
    <col min="6" max="6" width="5.625" style="0" customWidth="1"/>
    <col min="8" max="8" width="5.625" style="0" customWidth="1"/>
  </cols>
  <sheetData>
    <row r="2" spans="2:9" ht="54.75" customHeight="1">
      <c r="B2" s="157" t="s">
        <v>155</v>
      </c>
      <c r="C2" s="157"/>
      <c r="D2" s="157"/>
      <c r="E2" s="157"/>
      <c r="F2" s="157"/>
      <c r="G2" s="157"/>
      <c r="H2" s="157"/>
      <c r="I2" s="157"/>
    </row>
    <row r="3" ht="10.5" customHeight="1"/>
    <row r="4" spans="1:9" s="4" customFormat="1" ht="19.5" customHeight="1">
      <c r="A4" s="3"/>
      <c r="B4" s="125"/>
      <c r="C4" s="126"/>
      <c r="D4" s="126"/>
      <c r="E4" s="126"/>
      <c r="F4" s="126"/>
      <c r="G4" s="126"/>
      <c r="H4" s="136"/>
      <c r="I4" s="137"/>
    </row>
    <row r="5" spans="1:9" s="4" customFormat="1" ht="19.5" customHeight="1">
      <c r="A5" s="3"/>
      <c r="B5" s="144" t="s">
        <v>152</v>
      </c>
      <c r="C5" s="145" t="s">
        <v>187</v>
      </c>
      <c r="D5" s="145"/>
      <c r="E5" s="145"/>
      <c r="F5" s="145"/>
      <c r="G5" s="146"/>
      <c r="H5" s="135"/>
      <c r="I5" s="138"/>
    </row>
    <row r="6" spans="1:9" s="4" customFormat="1" ht="19.5" customHeight="1">
      <c r="A6" s="3"/>
      <c r="B6" s="144"/>
      <c r="C6" s="147" t="s">
        <v>153</v>
      </c>
      <c r="D6" s="147"/>
      <c r="E6" s="147"/>
      <c r="F6" s="147"/>
      <c r="G6" s="148"/>
      <c r="H6" s="135"/>
      <c r="I6" s="138"/>
    </row>
    <row r="7" spans="2:9" ht="18" customHeight="1">
      <c r="B7" s="144"/>
      <c r="C7" s="147" t="s">
        <v>154</v>
      </c>
      <c r="D7" s="147"/>
      <c r="E7" s="147"/>
      <c r="F7" s="147"/>
      <c r="G7" s="148"/>
      <c r="H7" s="129"/>
      <c r="I7" s="139"/>
    </row>
    <row r="8" spans="2:9" ht="19.5">
      <c r="B8" s="140"/>
      <c r="C8" s="130" t="s">
        <v>186</v>
      </c>
      <c r="D8" s="129"/>
      <c r="E8" s="127"/>
      <c r="F8" s="127"/>
      <c r="G8" s="128"/>
      <c r="H8" s="129"/>
      <c r="I8" s="139"/>
    </row>
    <row r="9" spans="2:9" ht="18" customHeight="1">
      <c r="B9" s="141"/>
      <c r="C9" s="132" t="s">
        <v>185</v>
      </c>
      <c r="D9" s="131"/>
      <c r="E9" s="133"/>
      <c r="F9" s="134"/>
      <c r="G9" s="133"/>
      <c r="H9" s="131"/>
      <c r="I9" s="142"/>
    </row>
    <row r="10" spans="2:7" ht="11.25" customHeight="1">
      <c r="B10" s="95"/>
      <c r="C10" s="95"/>
      <c r="D10" s="95"/>
      <c r="E10" s="95"/>
      <c r="F10" s="95"/>
      <c r="G10" s="95"/>
    </row>
    <row r="11" spans="2:9" ht="23.25" customHeight="1">
      <c r="B11" s="158" t="s">
        <v>158</v>
      </c>
      <c r="C11" s="158"/>
      <c r="D11" s="158"/>
      <c r="E11" s="158"/>
      <c r="F11" s="158"/>
      <c r="G11" s="158"/>
      <c r="H11" s="158"/>
      <c r="I11" s="158"/>
    </row>
    <row r="12" spans="2:8" ht="16.5" customHeight="1">
      <c r="B12" s="95"/>
      <c r="C12" s="95"/>
      <c r="D12" s="95"/>
      <c r="E12" s="95"/>
      <c r="F12" s="95"/>
      <c r="G12" s="95"/>
      <c r="H12" s="16"/>
    </row>
    <row r="13" spans="2:5" ht="31.5" customHeight="1">
      <c r="B13" t="s">
        <v>21</v>
      </c>
      <c r="D13" s="160" t="s">
        <v>34</v>
      </c>
      <c r="E13" s="160"/>
    </row>
    <row r="14" spans="2:8" ht="30.75" customHeight="1">
      <c r="B14" s="25" t="s">
        <v>35</v>
      </c>
      <c r="C14" s="25"/>
      <c r="D14" s="26"/>
      <c r="E14" s="26"/>
      <c r="F14" s="25"/>
      <c r="G14" s="25"/>
      <c r="H14" s="25"/>
    </row>
    <row r="15" spans="2:7" ht="19.5" customHeight="1">
      <c r="B15" t="s">
        <v>22</v>
      </c>
      <c r="D15" s="23" t="s">
        <v>27</v>
      </c>
      <c r="E15" s="23"/>
      <c r="F15" s="24"/>
      <c r="G15" s="16"/>
    </row>
    <row r="16" spans="2:6" ht="19.5" customHeight="1">
      <c r="B16" t="s">
        <v>23</v>
      </c>
      <c r="D16" s="23" t="s">
        <v>28</v>
      </c>
      <c r="E16" s="23"/>
      <c r="F16" s="24"/>
    </row>
    <row r="17" spans="2:6" ht="19.5" customHeight="1">
      <c r="B17" t="s">
        <v>24</v>
      </c>
      <c r="D17" s="23" t="s">
        <v>116</v>
      </c>
      <c r="E17" s="23"/>
      <c r="F17" s="24"/>
    </row>
    <row r="18" spans="2:6" ht="19.5" customHeight="1">
      <c r="B18" t="s">
        <v>25</v>
      </c>
      <c r="D18" s="161" t="s">
        <v>120</v>
      </c>
      <c r="E18" s="161"/>
      <c r="F18" s="1"/>
    </row>
    <row r="19" spans="2:5" ht="19.5" customHeight="1">
      <c r="B19" t="s">
        <v>26</v>
      </c>
      <c r="D19" s="161" t="s">
        <v>137</v>
      </c>
      <c r="E19" s="161"/>
    </row>
    <row r="20" spans="2:5" ht="19.5" customHeight="1">
      <c r="B20" t="s">
        <v>29</v>
      </c>
      <c r="D20" s="161" t="s">
        <v>30</v>
      </c>
      <c r="E20" s="161"/>
    </row>
    <row r="21" spans="2:5" ht="19.5" customHeight="1">
      <c r="B21" t="s">
        <v>31</v>
      </c>
      <c r="D21" s="161" t="s">
        <v>32</v>
      </c>
      <c r="E21" s="161"/>
    </row>
    <row r="22" spans="2:5" ht="19.5" customHeight="1">
      <c r="B22" t="s">
        <v>66</v>
      </c>
      <c r="C22" t="s">
        <v>65</v>
      </c>
      <c r="D22" s="27"/>
      <c r="E22" s="27"/>
    </row>
    <row r="23" spans="2:5" ht="19.5" customHeight="1">
      <c r="B23" t="s">
        <v>67</v>
      </c>
      <c r="C23" t="s">
        <v>144</v>
      </c>
      <c r="D23" s="27"/>
      <c r="E23" s="27"/>
    </row>
    <row r="24" spans="2:3" ht="19.5" customHeight="1">
      <c r="B24" t="s">
        <v>0</v>
      </c>
      <c r="C24" t="s">
        <v>33</v>
      </c>
    </row>
    <row r="25" spans="2:3" ht="18" customHeight="1">
      <c r="B25" t="s">
        <v>1</v>
      </c>
      <c r="C25" t="s">
        <v>2</v>
      </c>
    </row>
    <row r="26" spans="2:3" ht="18" customHeight="1">
      <c r="B26" t="s">
        <v>3</v>
      </c>
      <c r="C26" t="s">
        <v>4</v>
      </c>
    </row>
    <row r="27" spans="2:3" ht="18" customHeight="1">
      <c r="B27" t="s">
        <v>5</v>
      </c>
      <c r="C27" t="s">
        <v>43</v>
      </c>
    </row>
    <row r="28" spans="2:3" ht="18" customHeight="1">
      <c r="B28" t="s">
        <v>55</v>
      </c>
      <c r="C28" t="s">
        <v>57</v>
      </c>
    </row>
    <row r="29" spans="2:3" ht="18" customHeight="1">
      <c r="B29" t="s">
        <v>56</v>
      </c>
      <c r="C29" t="s">
        <v>58</v>
      </c>
    </row>
    <row r="30" spans="2:3" ht="18.75" customHeight="1">
      <c r="B30" t="s">
        <v>36</v>
      </c>
      <c r="C30" t="s">
        <v>37</v>
      </c>
    </row>
    <row r="31" spans="2:3" ht="18" customHeight="1">
      <c r="B31" t="s">
        <v>7</v>
      </c>
      <c r="C31" t="s">
        <v>44</v>
      </c>
    </row>
    <row r="32" spans="2:3" ht="18" customHeight="1">
      <c r="B32" t="s">
        <v>38</v>
      </c>
      <c r="C32" t="s">
        <v>39</v>
      </c>
    </row>
    <row r="33" spans="2:3" ht="18" customHeight="1">
      <c r="B33" t="s">
        <v>121</v>
      </c>
      <c r="C33" t="s">
        <v>122</v>
      </c>
    </row>
    <row r="34" spans="2:3" ht="18" customHeight="1">
      <c r="B34" t="s">
        <v>117</v>
      </c>
      <c r="C34" t="s">
        <v>118</v>
      </c>
    </row>
    <row r="35" spans="2:3" ht="21" customHeight="1">
      <c r="B35" t="s">
        <v>40</v>
      </c>
      <c r="C35" t="s">
        <v>41</v>
      </c>
    </row>
    <row r="36" spans="2:3" ht="18" customHeight="1">
      <c r="B36" t="s">
        <v>42</v>
      </c>
      <c r="C36" t="s">
        <v>45</v>
      </c>
    </row>
    <row r="37" spans="2:3" ht="18" customHeight="1">
      <c r="B37" t="s">
        <v>46</v>
      </c>
      <c r="C37" t="s">
        <v>47</v>
      </c>
    </row>
    <row r="38" spans="2:3" ht="17.25" customHeight="1">
      <c r="B38" t="s">
        <v>48</v>
      </c>
      <c r="C38" t="s">
        <v>49</v>
      </c>
    </row>
    <row r="39" spans="2:3" ht="16.5" customHeight="1">
      <c r="B39" t="s">
        <v>50</v>
      </c>
      <c r="C39" t="s">
        <v>51</v>
      </c>
    </row>
    <row r="40" spans="2:3" ht="16.5" customHeight="1">
      <c r="B40" t="s">
        <v>52</v>
      </c>
      <c r="C40" t="s">
        <v>53</v>
      </c>
    </row>
    <row r="41" spans="2:3" ht="16.5" customHeight="1">
      <c r="B41" t="s">
        <v>54</v>
      </c>
      <c r="C41" t="s">
        <v>59</v>
      </c>
    </row>
    <row r="42" spans="2:3" ht="16.5" customHeight="1">
      <c r="B42" t="s">
        <v>8</v>
      </c>
      <c r="C42" t="s">
        <v>6</v>
      </c>
    </row>
    <row r="43" spans="2:3" ht="18.75">
      <c r="B43" t="s">
        <v>60</v>
      </c>
      <c r="C43" t="s">
        <v>61</v>
      </c>
    </row>
    <row r="44" spans="2:3" ht="15.75">
      <c r="B44" t="s">
        <v>62</v>
      </c>
      <c r="C44" t="s">
        <v>63</v>
      </c>
    </row>
    <row r="45" spans="2:9" ht="19.5" customHeight="1">
      <c r="B45" s="159" t="s">
        <v>64</v>
      </c>
      <c r="C45" s="159"/>
      <c r="D45" s="159"/>
      <c r="E45" s="159"/>
      <c r="F45" s="159"/>
      <c r="G45" s="159"/>
      <c r="H45" s="159"/>
      <c r="I45" s="159"/>
    </row>
    <row r="46" spans="2:9" ht="25.5" customHeight="1">
      <c r="B46" s="22"/>
      <c r="C46" s="22"/>
      <c r="D46" s="22"/>
      <c r="E46" s="22"/>
      <c r="F46" s="22"/>
      <c r="G46" s="22"/>
      <c r="H46" s="22"/>
      <c r="I46" s="22"/>
    </row>
    <row r="47" spans="8:9" ht="15.75">
      <c r="H47" s="22"/>
      <c r="I47" s="22"/>
    </row>
  </sheetData>
  <sheetProtection password="CC3B" sheet="1" objects="1" scenarios="1"/>
  <mergeCells count="8">
    <mergeCell ref="B2:I2"/>
    <mergeCell ref="B11:I11"/>
    <mergeCell ref="B45:I45"/>
    <mergeCell ref="D13:E13"/>
    <mergeCell ref="D18:E18"/>
    <mergeCell ref="D19:E19"/>
    <mergeCell ref="D20:E20"/>
    <mergeCell ref="D21:E21"/>
  </mergeCells>
  <hyperlinks>
    <hyperlink ref="C8" r:id="rId1" display="mrivasb@salud.aragon.es"/>
    <hyperlink ref="C9" r:id="rId2" display="pruizm@salud.aragon.es"/>
  </hyperlinks>
  <printOptions/>
  <pageMargins left="0.27" right="0.38" top="0.52" bottom="1" header="0" footer="0"/>
  <pageSetup horizontalDpi="300" verticalDpi="300" orientation="portrait" r:id="rId3"/>
</worksheet>
</file>

<file path=xl/worksheets/sheet10.xml><?xml version="1.0" encoding="utf-8"?>
<worksheet xmlns="http://schemas.openxmlformats.org/spreadsheetml/2006/main" xmlns:r="http://schemas.openxmlformats.org/officeDocument/2006/relationships">
  <sheetPr codeName="Hoja10"/>
  <dimension ref="B1:Z74"/>
  <sheetViews>
    <sheetView showGridLines="0" tabSelected="1" zoomScaleSheetLayoutView="100" workbookViewId="0" topLeftCell="A20">
      <selection activeCell="I36" sqref="I36"/>
    </sheetView>
  </sheetViews>
  <sheetFormatPr defaultColWidth="11.00390625" defaultRowHeight="15.75"/>
  <cols>
    <col min="1" max="1" width="7.125" style="2" customWidth="1"/>
    <col min="4" max="4" width="13.875" style="0" customWidth="1"/>
    <col min="5" max="5" width="4.25390625" style="0" customWidth="1"/>
    <col min="6" max="6" width="10.875" style="0" customWidth="1"/>
    <col min="7" max="7" width="6.875" style="0" customWidth="1"/>
    <col min="8" max="8" width="10.00390625" style="0" customWidth="1"/>
    <col min="9" max="9" width="8.50390625" style="0" customWidth="1"/>
    <col min="10" max="10" width="5.50390625" style="0" customWidth="1"/>
    <col min="11" max="11" width="5.625" style="5" customWidth="1"/>
    <col min="12" max="12" width="9.125" style="5" hidden="1" customWidth="1"/>
    <col min="13" max="15" width="5.625" style="5" hidden="1" customWidth="1"/>
    <col min="16" max="16" width="8.375" style="5" hidden="1" customWidth="1"/>
    <col min="17" max="18" width="5.625" style="5" hidden="1" customWidth="1"/>
    <col min="19" max="26" width="5.625" style="5" customWidth="1"/>
    <col min="27" max="30" width="5.625" style="0" customWidth="1"/>
    <col min="31" max="31" width="5.00390625" style="0" customWidth="1"/>
    <col min="32" max="32" width="5.625" style="0" customWidth="1"/>
    <col min="33" max="33" width="7.25390625" style="0" customWidth="1"/>
    <col min="34" max="34" width="7.00390625" style="0" customWidth="1"/>
    <col min="35" max="35" width="6.25390625" style="0" customWidth="1"/>
    <col min="36" max="36" width="6.625" style="0" customWidth="1"/>
    <col min="37" max="37" width="6.50390625" style="0" customWidth="1"/>
    <col min="38" max="38" width="6.375" style="0" customWidth="1"/>
    <col min="39" max="39" width="7.125" style="0" customWidth="1"/>
    <col min="40" max="40" width="5.625" style="0" customWidth="1"/>
    <col min="41" max="41" width="6.125" style="0" customWidth="1"/>
    <col min="42" max="42" width="6.25390625" style="0" customWidth="1"/>
    <col min="43" max="43" width="6.75390625" style="0" customWidth="1"/>
    <col min="44" max="44" width="6.375" style="0" customWidth="1"/>
    <col min="45" max="45" width="6.75390625" style="0" customWidth="1"/>
    <col min="46" max="46" width="3.75390625" style="0" customWidth="1"/>
    <col min="47" max="47" width="6.125" style="0" customWidth="1"/>
    <col min="48" max="48" width="6.50390625" style="0" customWidth="1"/>
    <col min="49" max="50" width="6.375" style="0" customWidth="1"/>
    <col min="51" max="51" width="9.50390625" style="0" customWidth="1"/>
    <col min="52" max="52" width="5.25390625" style="0" customWidth="1"/>
    <col min="53" max="53" width="7.375" style="0" customWidth="1"/>
    <col min="54" max="54" width="5.875" style="0" customWidth="1"/>
    <col min="55" max="55" width="6.375" style="0" customWidth="1"/>
    <col min="56" max="56" width="6.875" style="0" customWidth="1"/>
    <col min="57" max="57" width="7.625" style="0" customWidth="1"/>
    <col min="58" max="58" width="4.625" style="0" customWidth="1"/>
    <col min="59" max="59" width="7.75390625" style="0" customWidth="1"/>
    <col min="60" max="60" width="5.00390625" style="0" customWidth="1"/>
    <col min="61" max="61" width="7.25390625" style="0" customWidth="1"/>
    <col min="62" max="62" width="7.125" style="0" customWidth="1"/>
    <col min="63" max="63" width="7.625" style="0" customWidth="1"/>
    <col min="64" max="64" width="6.625" style="0" customWidth="1"/>
    <col min="65" max="65" width="6.25390625" style="0" customWidth="1"/>
    <col min="66" max="66" width="6.75390625" style="0" customWidth="1"/>
  </cols>
  <sheetData>
    <row r="1" spans="8:26" ht="21.75" customHeight="1">
      <c r="H1" s="5"/>
      <c r="I1" s="5"/>
      <c r="J1" s="5"/>
      <c r="K1"/>
      <c r="L1"/>
      <c r="M1"/>
      <c r="N1"/>
      <c r="O1"/>
      <c r="P1"/>
      <c r="Q1"/>
      <c r="R1"/>
      <c r="S1"/>
      <c r="T1"/>
      <c r="U1"/>
      <c r="V1"/>
      <c r="W1"/>
      <c r="X1"/>
      <c r="Y1"/>
      <c r="Z1"/>
    </row>
    <row r="2" spans="2:26" ht="15.75">
      <c r="B2" s="110" t="s">
        <v>184</v>
      </c>
      <c r="C2" s="110"/>
      <c r="D2" s="110"/>
      <c r="E2" s="110"/>
      <c r="F2" s="110"/>
      <c r="G2" s="110"/>
      <c r="H2" s="5"/>
      <c r="I2" s="5"/>
      <c r="J2" s="5"/>
      <c r="K2"/>
      <c r="L2"/>
      <c r="M2"/>
      <c r="N2"/>
      <c r="O2"/>
      <c r="P2"/>
      <c r="Q2"/>
      <c r="R2"/>
      <c r="S2"/>
      <c r="T2"/>
      <c r="U2"/>
      <c r="V2"/>
      <c r="W2"/>
      <c r="X2"/>
      <c r="Y2"/>
      <c r="Z2"/>
    </row>
    <row r="3" spans="2:26" ht="15.75">
      <c r="B3" s="16"/>
      <c r="C3" s="16"/>
      <c r="D3" s="16"/>
      <c r="E3" s="16"/>
      <c r="F3" s="16"/>
      <c r="H3" s="7"/>
      <c r="I3" s="7"/>
      <c r="J3" s="7"/>
      <c r="K3"/>
      <c r="L3"/>
      <c r="M3"/>
      <c r="N3"/>
      <c r="O3"/>
      <c r="P3"/>
      <c r="Q3"/>
      <c r="R3"/>
      <c r="S3"/>
      <c r="T3"/>
      <c r="U3"/>
      <c r="V3"/>
      <c r="W3"/>
      <c r="X3"/>
      <c r="Y3"/>
      <c r="Z3"/>
    </row>
    <row r="4" spans="2:26" ht="15.75">
      <c r="B4" t="s">
        <v>17</v>
      </c>
      <c r="C4" s="166" t="s">
        <v>20</v>
      </c>
      <c r="D4" s="166"/>
      <c r="E4" s="16"/>
      <c r="F4" s="12" t="s">
        <v>9</v>
      </c>
      <c r="G4" s="12"/>
      <c r="H4" s="162" t="s">
        <v>134</v>
      </c>
      <c r="I4" s="162"/>
      <c r="J4" s="29"/>
      <c r="K4"/>
      <c r="L4"/>
      <c r="M4"/>
      <c r="N4"/>
      <c r="O4"/>
      <c r="P4"/>
      <c r="Q4"/>
      <c r="R4"/>
      <c r="S4"/>
      <c r="T4"/>
      <c r="U4"/>
      <c r="V4"/>
      <c r="W4"/>
      <c r="X4"/>
      <c r="Y4"/>
      <c r="Z4"/>
    </row>
    <row r="5" spans="2:10" ht="15.75">
      <c r="B5" t="s">
        <v>19</v>
      </c>
      <c r="C5" s="167" t="s">
        <v>140</v>
      </c>
      <c r="D5" s="167"/>
      <c r="E5" s="16"/>
      <c r="F5" s="168" t="s">
        <v>10</v>
      </c>
      <c r="G5" s="168"/>
      <c r="H5" s="169" t="s">
        <v>151</v>
      </c>
      <c r="I5" s="169"/>
      <c r="J5" s="29"/>
    </row>
    <row r="6" spans="2:10" ht="15.75">
      <c r="B6" t="s">
        <v>18</v>
      </c>
      <c r="C6" s="20"/>
      <c r="D6" s="21"/>
      <c r="E6" s="16"/>
      <c r="F6" s="168" t="s">
        <v>11</v>
      </c>
      <c r="G6" s="168"/>
      <c r="H6" s="169">
        <v>3</v>
      </c>
      <c r="I6" s="169"/>
      <c r="J6" s="29"/>
    </row>
    <row r="7" spans="2:26" ht="15.75">
      <c r="B7" s="17"/>
      <c r="C7" s="17"/>
      <c r="D7" s="17"/>
      <c r="E7" s="16"/>
      <c r="F7" s="16"/>
      <c r="H7" s="5"/>
      <c r="I7" s="5"/>
      <c r="J7" s="5"/>
      <c r="L7"/>
      <c r="M7"/>
      <c r="N7"/>
      <c r="O7"/>
      <c r="P7"/>
      <c r="Q7"/>
      <c r="R7"/>
      <c r="S7"/>
      <c r="T7"/>
      <c r="U7"/>
      <c r="V7"/>
      <c r="W7"/>
      <c r="X7"/>
      <c r="Y7"/>
      <c r="Z7"/>
    </row>
    <row r="8" spans="2:26" ht="42" customHeight="1">
      <c r="B8" s="16"/>
      <c r="C8" s="16"/>
      <c r="D8" s="16"/>
      <c r="E8" s="16"/>
      <c r="F8" s="16"/>
      <c r="H8" s="5"/>
      <c r="I8" s="5"/>
      <c r="J8" s="5"/>
      <c r="K8"/>
      <c r="L8"/>
      <c r="M8"/>
      <c r="N8"/>
      <c r="O8"/>
      <c r="P8"/>
      <c r="Q8"/>
      <c r="R8"/>
      <c r="S8"/>
      <c r="T8"/>
      <c r="U8"/>
      <c r="V8"/>
      <c r="W8"/>
      <c r="X8"/>
      <c r="Y8"/>
      <c r="Z8"/>
    </row>
    <row r="9" spans="2:26" ht="32.25" customHeight="1">
      <c r="B9" s="170" t="s">
        <v>68</v>
      </c>
      <c r="C9" s="170"/>
      <c r="D9" s="170"/>
      <c r="E9" s="11"/>
      <c r="F9" s="11" t="s">
        <v>14</v>
      </c>
      <c r="H9" s="5"/>
      <c r="I9" s="5"/>
      <c r="J9" s="5"/>
      <c r="K9"/>
      <c r="L9"/>
      <c r="M9"/>
      <c r="N9"/>
      <c r="O9"/>
      <c r="P9"/>
      <c r="Q9"/>
      <c r="R9"/>
      <c r="S9"/>
      <c r="T9"/>
      <c r="U9"/>
      <c r="V9"/>
      <c r="W9"/>
      <c r="X9"/>
      <c r="Y9"/>
      <c r="Z9"/>
    </row>
    <row r="10" spans="2:26" ht="0.75" customHeight="1">
      <c r="B10" s="168"/>
      <c r="C10" s="168"/>
      <c r="D10" s="168"/>
      <c r="F10" s="29"/>
      <c r="H10" s="5"/>
      <c r="I10" s="5"/>
      <c r="J10" s="5"/>
      <c r="K10"/>
      <c r="L10"/>
      <c r="M10"/>
      <c r="N10"/>
      <c r="O10"/>
      <c r="P10"/>
      <c r="Q10"/>
      <c r="R10"/>
      <c r="S10"/>
      <c r="T10"/>
      <c r="U10"/>
      <c r="V10"/>
      <c r="W10"/>
      <c r="X10"/>
      <c r="Y10"/>
      <c r="Z10"/>
    </row>
    <row r="11" spans="2:26" ht="19.5" customHeight="1">
      <c r="B11" s="168" t="s">
        <v>69</v>
      </c>
      <c r="C11" s="168"/>
      <c r="D11" s="168"/>
      <c r="F11" s="13">
        <v>1</v>
      </c>
      <c r="H11" s="5"/>
      <c r="I11" s="5"/>
      <c r="J11" s="5"/>
      <c r="K11"/>
      <c r="L11"/>
      <c r="M11"/>
      <c r="N11"/>
      <c r="O11"/>
      <c r="P11"/>
      <c r="Q11"/>
      <c r="R11"/>
      <c r="S11"/>
      <c r="T11"/>
      <c r="U11"/>
      <c r="V11"/>
      <c r="W11"/>
      <c r="X11"/>
      <c r="Y11"/>
      <c r="Z11"/>
    </row>
    <row r="12" spans="2:10" ht="19.5" customHeight="1">
      <c r="B12" s="168" t="s">
        <v>12</v>
      </c>
      <c r="C12" s="168"/>
      <c r="D12" s="168"/>
      <c r="F12" s="14" t="s">
        <v>113</v>
      </c>
      <c r="H12" s="5"/>
      <c r="I12" s="5"/>
      <c r="J12" s="5"/>
    </row>
    <row r="13" spans="2:26" ht="19.5" customHeight="1">
      <c r="B13" s="168" t="s">
        <v>70</v>
      </c>
      <c r="C13" s="168"/>
      <c r="D13" s="168"/>
      <c r="F13" s="14">
        <v>0.12</v>
      </c>
      <c r="H13" s="5"/>
      <c r="I13" s="5"/>
      <c r="J13" s="5"/>
      <c r="K13"/>
      <c r="L13"/>
      <c r="M13"/>
      <c r="N13"/>
      <c r="O13"/>
      <c r="P13"/>
      <c r="Q13"/>
      <c r="R13"/>
      <c r="S13"/>
      <c r="T13"/>
      <c r="U13"/>
      <c r="V13"/>
      <c r="W13"/>
      <c r="X13"/>
      <c r="Y13"/>
      <c r="Z13"/>
    </row>
    <row r="14" spans="2:26" ht="19.5" customHeight="1">
      <c r="B14" s="28" t="s">
        <v>71</v>
      </c>
      <c r="C14" s="28"/>
      <c r="D14" s="28"/>
      <c r="E14" s="28"/>
      <c r="F14" s="14">
        <v>15</v>
      </c>
      <c r="H14" s="5"/>
      <c r="I14" s="5"/>
      <c r="J14" s="5"/>
      <c r="K14"/>
      <c r="L14"/>
      <c r="M14"/>
      <c r="N14"/>
      <c r="O14"/>
      <c r="P14"/>
      <c r="Q14"/>
      <c r="R14"/>
      <c r="S14"/>
      <c r="T14"/>
      <c r="U14"/>
      <c r="V14"/>
      <c r="W14"/>
      <c r="X14"/>
      <c r="Y14"/>
      <c r="Z14"/>
    </row>
    <row r="15" spans="2:26" ht="19.5" customHeight="1" hidden="1">
      <c r="B15" s="171"/>
      <c r="C15" s="171"/>
      <c r="D15" s="171"/>
      <c r="E15" s="3"/>
      <c r="F15" s="29"/>
      <c r="H15" s="5"/>
      <c r="I15" s="5"/>
      <c r="J15" s="5"/>
      <c r="K15" s="8"/>
      <c r="L15" s="8" t="s">
        <v>125</v>
      </c>
      <c r="M15" s="8"/>
      <c r="N15" s="8"/>
      <c r="O15" s="8"/>
      <c r="P15" s="8"/>
      <c r="Q15" s="8"/>
      <c r="R15" s="8"/>
      <c r="S15" s="8"/>
      <c r="T15" s="8"/>
      <c r="U15" s="8"/>
      <c r="V15" s="8"/>
      <c r="W15" s="8"/>
      <c r="X15" s="8"/>
      <c r="Y15" s="8"/>
      <c r="Z15" s="8"/>
    </row>
    <row r="16" spans="2:26" ht="19.5" customHeight="1">
      <c r="B16" s="168" t="s">
        <v>72</v>
      </c>
      <c r="C16" s="168"/>
      <c r="D16" s="168"/>
      <c r="E16" s="3"/>
      <c r="F16" s="30">
        <v>500000</v>
      </c>
      <c r="H16" s="5"/>
      <c r="I16" s="5"/>
      <c r="J16" s="5"/>
      <c r="K16"/>
      <c r="L16"/>
      <c r="M16"/>
      <c r="N16"/>
      <c r="O16"/>
      <c r="P16"/>
      <c r="Q16"/>
      <c r="R16"/>
      <c r="S16"/>
      <c r="T16"/>
      <c r="U16"/>
      <c r="V16"/>
      <c r="W16"/>
      <c r="X16"/>
      <c r="Y16"/>
      <c r="Z16"/>
    </row>
    <row r="17" spans="2:26" ht="19.5" customHeight="1">
      <c r="B17" s="168" t="s">
        <v>73</v>
      </c>
      <c r="C17" s="168"/>
      <c r="D17" s="168"/>
      <c r="E17" s="3"/>
      <c r="F17" s="14">
        <v>1</v>
      </c>
      <c r="H17" s="5"/>
      <c r="I17" s="5"/>
      <c r="J17" s="5"/>
      <c r="K17"/>
      <c r="L17"/>
      <c r="M17"/>
      <c r="N17"/>
      <c r="O17"/>
      <c r="P17"/>
      <c r="Q17"/>
      <c r="R17"/>
      <c r="S17"/>
      <c r="T17"/>
      <c r="U17"/>
      <c r="V17"/>
      <c r="W17"/>
      <c r="X17"/>
      <c r="Y17"/>
      <c r="Z17"/>
    </row>
    <row r="18" spans="2:26" ht="19.5" customHeight="1">
      <c r="B18" s="168" t="s">
        <v>74</v>
      </c>
      <c r="C18" s="168"/>
      <c r="D18" s="168"/>
      <c r="E18" s="15"/>
      <c r="F18" s="14">
        <v>0.0001</v>
      </c>
      <c r="H18" s="5"/>
      <c r="I18" s="5"/>
      <c r="J18" s="5"/>
      <c r="K18"/>
      <c r="L18"/>
      <c r="M18"/>
      <c r="N18"/>
      <c r="O18"/>
      <c r="P18"/>
      <c r="Q18"/>
      <c r="R18"/>
      <c r="S18"/>
      <c r="T18"/>
      <c r="U18"/>
      <c r="V18"/>
      <c r="W18"/>
      <c r="X18"/>
      <c r="Y18"/>
      <c r="Z18"/>
    </row>
    <row r="19" spans="2:10" ht="19.5" customHeight="1" hidden="1">
      <c r="B19" s="12"/>
      <c r="C19" s="3"/>
      <c r="D19" s="3"/>
      <c r="E19" s="3"/>
      <c r="F19" s="29"/>
      <c r="H19" s="5"/>
      <c r="I19" s="5"/>
      <c r="J19" s="5"/>
    </row>
    <row r="20" spans="2:26" ht="19.5" customHeight="1">
      <c r="B20" s="19" t="s">
        <v>76</v>
      </c>
      <c r="C20" s="11"/>
      <c r="D20" s="11"/>
      <c r="E20" s="3"/>
      <c r="F20" s="13">
        <v>0.0001</v>
      </c>
      <c r="H20" s="5"/>
      <c r="I20" s="5"/>
      <c r="J20" s="5"/>
      <c r="K20"/>
      <c r="L20"/>
      <c r="M20"/>
      <c r="N20"/>
      <c r="O20"/>
      <c r="P20"/>
      <c r="Q20"/>
      <c r="R20"/>
      <c r="S20"/>
      <c r="T20"/>
      <c r="U20"/>
      <c r="V20"/>
      <c r="W20"/>
      <c r="X20"/>
      <c r="Y20"/>
      <c r="Z20"/>
    </row>
    <row r="21" spans="2:26" ht="19.5" customHeight="1" hidden="1">
      <c r="B21" s="168"/>
      <c r="C21" s="168"/>
      <c r="D21" s="168"/>
      <c r="E21" s="3"/>
      <c r="F21" s="29"/>
      <c r="H21" s="5"/>
      <c r="I21" s="5"/>
      <c r="J21" s="5"/>
      <c r="K21"/>
      <c r="L21"/>
      <c r="M21"/>
      <c r="N21"/>
      <c r="O21"/>
      <c r="P21"/>
      <c r="Q21"/>
      <c r="R21"/>
      <c r="S21"/>
      <c r="T21"/>
      <c r="U21"/>
      <c r="V21"/>
      <c r="W21"/>
      <c r="X21"/>
      <c r="Y21"/>
      <c r="Z21"/>
    </row>
    <row r="22" spans="2:26" ht="0.75" customHeight="1" hidden="1">
      <c r="B22" s="12"/>
      <c r="C22" s="3"/>
      <c r="D22" s="3"/>
      <c r="E22" s="3"/>
      <c r="F22" s="13"/>
      <c r="H22" s="5"/>
      <c r="I22" s="5"/>
      <c r="J22" s="5"/>
      <c r="K22" s="8"/>
      <c r="L22" s="8" t="s">
        <v>100</v>
      </c>
      <c r="M22" s="8"/>
      <c r="N22" s="8"/>
      <c r="O22" s="8"/>
      <c r="P22" s="8"/>
      <c r="Q22" s="8"/>
      <c r="R22" s="8"/>
      <c r="S22" s="8"/>
      <c r="T22" s="8"/>
      <c r="U22" s="8"/>
      <c r="V22" s="8"/>
      <c r="W22" s="8"/>
      <c r="X22" s="8"/>
      <c r="Y22" s="8"/>
      <c r="Z22" s="8"/>
    </row>
    <row r="23" spans="2:26" ht="19.5" customHeight="1">
      <c r="B23" t="s">
        <v>115</v>
      </c>
      <c r="F23" s="14">
        <v>12.3</v>
      </c>
      <c r="H23" s="5"/>
      <c r="I23" s="5"/>
      <c r="J23" s="5"/>
      <c r="K23"/>
      <c r="L23"/>
      <c r="M23"/>
      <c r="N23"/>
      <c r="O23"/>
      <c r="P23"/>
      <c r="Q23"/>
      <c r="R23"/>
      <c r="S23"/>
      <c r="T23"/>
      <c r="U23"/>
      <c r="V23"/>
      <c r="W23"/>
      <c r="X23"/>
      <c r="Y23"/>
      <c r="Z23"/>
    </row>
    <row r="24" spans="2:26" ht="19.5" customHeight="1">
      <c r="B24" t="s">
        <v>114</v>
      </c>
      <c r="F24" s="14">
        <v>6</v>
      </c>
      <c r="H24" s="5"/>
      <c r="I24" s="5"/>
      <c r="J24" s="5"/>
      <c r="K24"/>
      <c r="L24"/>
      <c r="M24"/>
      <c r="N24"/>
      <c r="O24"/>
      <c r="P24"/>
      <c r="Q24"/>
      <c r="R24"/>
      <c r="S24"/>
      <c r="T24"/>
      <c r="U24"/>
      <c r="V24"/>
      <c r="W24"/>
      <c r="X24"/>
      <c r="Y24"/>
      <c r="Z24"/>
    </row>
    <row r="25" spans="2:26" ht="19.5" customHeight="1" hidden="1">
      <c r="B25" s="12"/>
      <c r="F25" s="14"/>
      <c r="H25" s="5"/>
      <c r="I25" s="5"/>
      <c r="J25" s="5"/>
      <c r="K25"/>
      <c r="L25"/>
      <c r="M25"/>
      <c r="N25"/>
      <c r="O25"/>
      <c r="P25"/>
      <c r="Q25"/>
      <c r="R25"/>
      <c r="S25"/>
      <c r="T25"/>
      <c r="U25"/>
      <c r="V25"/>
      <c r="W25"/>
      <c r="X25"/>
      <c r="Y25"/>
      <c r="Z25"/>
    </row>
    <row r="26" spans="2:26" ht="18.75" customHeight="1">
      <c r="B26" t="s">
        <v>79</v>
      </c>
      <c r="F26" s="14">
        <v>18.3</v>
      </c>
      <c r="H26" s="5"/>
      <c r="I26" s="5"/>
      <c r="J26" s="5"/>
      <c r="K26"/>
      <c r="L26"/>
      <c r="M26"/>
      <c r="N26"/>
      <c r="O26"/>
      <c r="P26"/>
      <c r="Q26"/>
      <c r="R26"/>
      <c r="S26"/>
      <c r="T26"/>
      <c r="U26"/>
      <c r="V26"/>
      <c r="W26"/>
      <c r="X26"/>
      <c r="Y26"/>
      <c r="Z26"/>
    </row>
    <row r="27" spans="6:10" ht="1.5" customHeight="1" hidden="1">
      <c r="F27" s="14"/>
      <c r="H27" s="5"/>
      <c r="I27" s="5"/>
      <c r="J27" s="5"/>
    </row>
    <row r="28" spans="2:26" ht="19.5" customHeight="1">
      <c r="B28" t="s">
        <v>81</v>
      </c>
      <c r="F28" s="14">
        <v>2</v>
      </c>
      <c r="H28" s="5"/>
      <c r="I28" s="5"/>
      <c r="J28" s="5"/>
      <c r="K28"/>
      <c r="L28"/>
      <c r="M28"/>
      <c r="N28"/>
      <c r="O28"/>
      <c r="P28"/>
      <c r="Q28"/>
      <c r="R28"/>
      <c r="S28"/>
      <c r="T28"/>
      <c r="U28"/>
      <c r="V28"/>
      <c r="W28"/>
      <c r="X28"/>
      <c r="Y28"/>
      <c r="Z28"/>
    </row>
    <row r="29" spans="2:26" ht="19.5" customHeight="1">
      <c r="B29" t="s">
        <v>139</v>
      </c>
      <c r="F29" s="14">
        <v>0.15</v>
      </c>
      <c r="H29" s="5"/>
      <c r="I29" s="5"/>
      <c r="J29" s="5"/>
      <c r="K29"/>
      <c r="L29"/>
      <c r="M29"/>
      <c r="N29"/>
      <c r="O29"/>
      <c r="P29"/>
      <c r="Q29"/>
      <c r="R29"/>
      <c r="S29"/>
      <c r="T29"/>
      <c r="U29"/>
      <c r="V29"/>
      <c r="W29"/>
      <c r="X29"/>
      <c r="Y29"/>
      <c r="Z29"/>
    </row>
    <row r="30" spans="2:26" ht="19.5" customHeight="1">
      <c r="B30" t="s">
        <v>189</v>
      </c>
      <c r="F30" s="14">
        <v>10</v>
      </c>
      <c r="H30" s="5"/>
      <c r="I30" s="5"/>
      <c r="J30" s="5"/>
      <c r="K30"/>
      <c r="L30"/>
      <c r="M30"/>
      <c r="N30"/>
      <c r="O30"/>
      <c r="P30"/>
      <c r="Q30"/>
      <c r="R30"/>
      <c r="S30"/>
      <c r="T30"/>
      <c r="U30"/>
      <c r="V30"/>
      <c r="W30"/>
      <c r="X30"/>
      <c r="Y30"/>
      <c r="Z30"/>
    </row>
    <row r="31" spans="8:26" ht="15.75">
      <c r="H31" s="5"/>
      <c r="I31" s="5"/>
      <c r="J31" s="5"/>
      <c r="K31"/>
      <c r="L31"/>
      <c r="M31"/>
      <c r="N31"/>
      <c r="O31"/>
      <c r="P31"/>
      <c r="Q31"/>
      <c r="R31"/>
      <c r="S31"/>
      <c r="T31"/>
      <c r="U31"/>
      <c r="V31"/>
      <c r="W31"/>
      <c r="X31"/>
      <c r="Y31"/>
      <c r="Z31"/>
    </row>
    <row r="32" spans="2:26" ht="15.75">
      <c r="B32" s="100" t="s">
        <v>182</v>
      </c>
      <c r="C32" s="100"/>
      <c r="D32" s="100"/>
      <c r="E32" s="100"/>
      <c r="F32" s="124">
        <v>0</v>
      </c>
      <c r="H32" s="5"/>
      <c r="I32" s="5"/>
      <c r="J32" s="5"/>
      <c r="K32"/>
      <c r="L32"/>
      <c r="M32"/>
      <c r="N32"/>
      <c r="O32"/>
      <c r="P32"/>
      <c r="Q32"/>
      <c r="R32"/>
      <c r="S32"/>
      <c r="T32"/>
      <c r="U32"/>
      <c r="V32"/>
      <c r="W32"/>
      <c r="X32"/>
      <c r="Y32"/>
      <c r="Z32"/>
    </row>
    <row r="33" spans="2:26" ht="5.25" customHeight="1">
      <c r="B33" s="150"/>
      <c r="C33" s="150"/>
      <c r="D33" s="150"/>
      <c r="E33" s="150"/>
      <c r="F33" s="151"/>
      <c r="H33" s="5"/>
      <c r="I33" s="5"/>
      <c r="J33" s="5"/>
      <c r="K33"/>
      <c r="L33"/>
      <c r="M33"/>
      <c r="N33"/>
      <c r="O33"/>
      <c r="P33"/>
      <c r="Q33"/>
      <c r="R33"/>
      <c r="S33"/>
      <c r="T33"/>
      <c r="U33"/>
      <c r="V33"/>
      <c r="W33"/>
      <c r="X33"/>
      <c r="Y33"/>
      <c r="Z33"/>
    </row>
    <row r="34" spans="2:26" ht="15.75">
      <c r="B34" s="100" t="s">
        <v>181</v>
      </c>
      <c r="C34" s="100"/>
      <c r="D34" s="100"/>
      <c r="E34" s="100"/>
      <c r="F34" s="124">
        <v>12.3</v>
      </c>
      <c r="H34" s="5"/>
      <c r="I34" s="5"/>
      <c r="J34" s="5"/>
      <c r="K34"/>
      <c r="L34"/>
      <c r="M34"/>
      <c r="N34"/>
      <c r="O34"/>
      <c r="P34"/>
      <c r="Q34"/>
      <c r="R34"/>
      <c r="S34"/>
      <c r="T34"/>
      <c r="U34"/>
      <c r="V34"/>
      <c r="W34"/>
      <c r="X34"/>
      <c r="Y34"/>
      <c r="Z34"/>
    </row>
    <row r="35" spans="2:26" ht="16.5" customHeight="1">
      <c r="B35" s="100" t="s">
        <v>190</v>
      </c>
      <c r="C35" s="100"/>
      <c r="D35" s="100"/>
      <c r="E35" s="100"/>
      <c r="F35" s="124">
        <v>6.9</v>
      </c>
      <c r="G35" s="38"/>
      <c r="H35" s="38"/>
      <c r="K35"/>
      <c r="L35"/>
      <c r="M35"/>
      <c r="N35"/>
      <c r="O35"/>
      <c r="P35"/>
      <c r="Q35"/>
      <c r="R35"/>
      <c r="S35"/>
      <c r="T35"/>
      <c r="U35"/>
      <c r="V35"/>
      <c r="W35"/>
      <c r="X35"/>
      <c r="Y35"/>
      <c r="Z35"/>
    </row>
    <row r="36" spans="2:26" ht="15.75" customHeight="1">
      <c r="B36" s="44"/>
      <c r="C36" s="44"/>
      <c r="D36" s="44"/>
      <c r="E36" s="44"/>
      <c r="F36" s="38"/>
      <c r="G36" s="39"/>
      <c r="H36" s="38"/>
      <c r="K36"/>
      <c r="L36"/>
      <c r="M36"/>
      <c r="N36"/>
      <c r="O36"/>
      <c r="P36"/>
      <c r="Q36"/>
      <c r="R36"/>
      <c r="S36"/>
      <c r="T36"/>
      <c r="U36"/>
      <c r="V36"/>
      <c r="W36"/>
      <c r="X36"/>
      <c r="Y36"/>
      <c r="Z36"/>
    </row>
    <row r="37" spans="2:26" ht="15.75" hidden="1">
      <c r="B37" s="41"/>
      <c r="C37" s="41"/>
      <c r="D37" s="41"/>
      <c r="E37" s="41"/>
      <c r="F37" s="45"/>
      <c r="G37" s="41"/>
      <c r="H37" s="45"/>
      <c r="I37" s="5"/>
      <c r="J37" s="5"/>
      <c r="K37"/>
      <c r="L37" t="s">
        <v>105</v>
      </c>
      <c r="M37"/>
      <c r="N37"/>
      <c r="O37"/>
      <c r="P37" t="e">
        <f>1/(F21*F21)</f>
        <v>#DIV/0!</v>
      </c>
      <c r="Q37"/>
      <c r="R37"/>
      <c r="S37"/>
      <c r="T37"/>
      <c r="U37"/>
      <c r="V37"/>
      <c r="W37"/>
      <c r="X37"/>
      <c r="Y37"/>
      <c r="Z37"/>
    </row>
    <row r="38" spans="2:26" ht="15.75" hidden="1">
      <c r="B38" s="41"/>
      <c r="C38" s="41"/>
      <c r="D38" s="41"/>
      <c r="E38" s="41"/>
      <c r="F38" s="45"/>
      <c r="G38" s="41"/>
      <c r="H38" s="45"/>
      <c r="I38" s="5"/>
      <c r="J38" s="5"/>
      <c r="K38"/>
      <c r="L38" t="s">
        <v>106</v>
      </c>
      <c r="M38"/>
      <c r="N38"/>
      <c r="O38"/>
      <c r="P38" t="e">
        <f>F27/(100*F22^2)</f>
        <v>#DIV/0!</v>
      </c>
      <c r="Q38"/>
      <c r="R38"/>
      <c r="S38"/>
      <c r="T38"/>
      <c r="U38"/>
      <c r="V38"/>
      <c r="W38"/>
      <c r="X38"/>
      <c r="Y38"/>
      <c r="Z38"/>
    </row>
    <row r="39" spans="2:26" ht="15" customHeight="1">
      <c r="B39" s="156" t="s">
        <v>193</v>
      </c>
      <c r="C39" s="156"/>
      <c r="D39" s="156"/>
      <c r="E39" s="156"/>
      <c r="F39" s="156"/>
      <c r="G39" s="152">
        <f>IF($F$32="","",($F$16*$F$11*P39*$F$17)/(10^($F$32/1.5)))</f>
        <v>0.006793428367888014</v>
      </c>
      <c r="H39" s="48"/>
      <c r="I39" s="5"/>
      <c r="J39" s="5"/>
      <c r="K39"/>
      <c r="L39" s="100" t="s">
        <v>107</v>
      </c>
      <c r="M39" s="100"/>
      <c r="N39" s="100"/>
      <c r="O39" s="100"/>
      <c r="P39" s="100">
        <f>(0.000001+0.01*(F18/F24^2))*(F28/F23^2)</f>
        <v>1.3586856735776028E-08</v>
      </c>
      <c r="Q39"/>
      <c r="R39"/>
      <c r="S39"/>
      <c r="T39"/>
      <c r="U39"/>
      <c r="V39"/>
      <c r="W39"/>
      <c r="X39"/>
      <c r="Y39"/>
      <c r="Z39"/>
    </row>
    <row r="40" spans="2:26" ht="15" customHeight="1">
      <c r="B40" s="156" t="s">
        <v>194</v>
      </c>
      <c r="C40" s="156"/>
      <c r="D40" s="156"/>
      <c r="E40" s="156"/>
      <c r="F40" s="156"/>
      <c r="G40" s="152">
        <f>IF($F$34="","",($F$16*$F$11*P40*$F$17*$F$30*10)/(10^($F$34/8)))</f>
        <v>0.118880376995621</v>
      </c>
      <c r="H40" s="45"/>
      <c r="I40" s="5"/>
      <c r="J40" s="5"/>
      <c r="K40"/>
      <c r="L40" s="100" t="s">
        <v>110</v>
      </c>
      <c r="M40" s="100"/>
      <c r="N40" s="100"/>
      <c r="O40" s="100"/>
      <c r="P40" s="100">
        <f>IF(F29="",0,0.1*F20*F29/F26)</f>
        <v>8.196721311475409E-08</v>
      </c>
      <c r="Q40"/>
      <c r="R40"/>
      <c r="S40"/>
      <c r="T40"/>
      <c r="U40"/>
      <c r="V40"/>
      <c r="W40"/>
      <c r="X40"/>
      <c r="Y40"/>
      <c r="Z40"/>
    </row>
    <row r="41" spans="2:26" ht="15" customHeight="1">
      <c r="B41" s="156" t="s">
        <v>195</v>
      </c>
      <c r="C41" s="156"/>
      <c r="D41" s="156"/>
      <c r="E41" s="156"/>
      <c r="F41" s="156"/>
      <c r="G41" s="152">
        <f>IF($F$34="","",($F$16*$F$11*P40*$F$17*$F$30*10)/(10^($F$35/4.5)))</f>
        <v>0.12002641658300142</v>
      </c>
      <c r="H41" s="45"/>
      <c r="I41" s="5"/>
      <c r="J41" s="5"/>
      <c r="K41"/>
      <c r="L41" s="100"/>
      <c r="M41" s="100"/>
      <c r="N41" s="100"/>
      <c r="O41" s="100"/>
      <c r="P41" s="100"/>
      <c r="Q41"/>
      <c r="R41"/>
      <c r="S41"/>
      <c r="T41"/>
      <c r="U41"/>
      <c r="V41"/>
      <c r="W41"/>
      <c r="X41"/>
      <c r="Y41"/>
      <c r="Z41"/>
    </row>
    <row r="42" spans="8:26" ht="15.75">
      <c r="H42" s="40"/>
      <c r="I42" s="5"/>
      <c r="J42" s="5"/>
      <c r="K42"/>
      <c r="L42"/>
      <c r="M42"/>
      <c r="N42"/>
      <c r="O42"/>
      <c r="P42"/>
      <c r="Q42"/>
      <c r="R42"/>
      <c r="S42"/>
      <c r="T42"/>
      <c r="U42"/>
      <c r="V42"/>
      <c r="W42"/>
      <c r="X42"/>
      <c r="Y42"/>
      <c r="Z42"/>
    </row>
    <row r="43" spans="2:8" ht="15.75" hidden="1">
      <c r="B43" s="41"/>
      <c r="C43" s="41"/>
      <c r="D43" s="41"/>
      <c r="E43" s="39"/>
      <c r="F43" s="43"/>
      <c r="H43" s="43"/>
    </row>
    <row r="44" ht="15.75" hidden="1"/>
    <row r="45" ht="15.75" hidden="1"/>
    <row r="46" ht="15.75" hidden="1"/>
    <row r="47" ht="15.75" hidden="1"/>
    <row r="48" ht="15.75" hidden="1"/>
    <row r="49" ht="15.75" hidden="1"/>
    <row r="50" ht="15.75" hidden="1"/>
    <row r="51" ht="15.75" hidden="1"/>
    <row r="52" ht="15.75" hidden="1"/>
    <row r="53" ht="15.75" hidden="1"/>
    <row r="54" ht="15.75" hidden="1"/>
    <row r="55" ht="15.75" hidden="1"/>
    <row r="56" ht="15.75" hidden="1"/>
    <row r="57" ht="15.75" hidden="1"/>
    <row r="58" ht="15.75" hidden="1"/>
    <row r="59" ht="15.75" hidden="1"/>
    <row r="60" ht="15.75" hidden="1"/>
    <row r="61" ht="15.75" hidden="1"/>
    <row r="62" ht="15.75" hidden="1"/>
    <row r="63" ht="15.75" hidden="1"/>
    <row r="64" ht="15.75" hidden="1"/>
    <row r="65" ht="15.75" hidden="1"/>
    <row r="66" ht="15.75" hidden="1"/>
    <row r="67" ht="15.75" hidden="1"/>
    <row r="68" ht="15.75" hidden="1"/>
    <row r="69" ht="15.75" hidden="1"/>
    <row r="70" ht="15.75" hidden="1"/>
    <row r="71" ht="15.75" hidden="1"/>
    <row r="72" spans="2:7" ht="15.75">
      <c r="B72" s="155" t="s">
        <v>191</v>
      </c>
      <c r="C72" s="155"/>
      <c r="D72" s="155"/>
      <c r="E72" s="155"/>
      <c r="F72" s="155"/>
      <c r="G72" s="153">
        <f>IF(G39="","",SUM(G39:G40))</f>
        <v>0.125673805363509</v>
      </c>
    </row>
    <row r="74" spans="2:7" ht="15.75">
      <c r="B74" s="155" t="s">
        <v>192</v>
      </c>
      <c r="C74" s="155"/>
      <c r="D74" s="155"/>
      <c r="E74" s="155"/>
      <c r="F74" s="155"/>
      <c r="G74" s="153">
        <f>IF(G41="","",(G39+G41))</f>
        <v>0.12681984495088944</v>
      </c>
    </row>
  </sheetData>
  <sheetProtection password="CC3B" sheet="1" objects="1" scenarios="1"/>
  <mergeCells count="22">
    <mergeCell ref="B74:F74"/>
    <mergeCell ref="B39:F39"/>
    <mergeCell ref="B40:F40"/>
    <mergeCell ref="B41:F41"/>
    <mergeCell ref="B72:F72"/>
    <mergeCell ref="B11:D11"/>
    <mergeCell ref="B12:D12"/>
    <mergeCell ref="B21:D21"/>
    <mergeCell ref="B15:D15"/>
    <mergeCell ref="B18:D18"/>
    <mergeCell ref="B16:D16"/>
    <mergeCell ref="B17:D17"/>
    <mergeCell ref="H4:I4"/>
    <mergeCell ref="H5:I5"/>
    <mergeCell ref="H6:I6"/>
    <mergeCell ref="B13:D13"/>
    <mergeCell ref="F5:G5"/>
    <mergeCell ref="C4:D4"/>
    <mergeCell ref="C5:D5"/>
    <mergeCell ref="F6:G6"/>
    <mergeCell ref="B9:D9"/>
    <mergeCell ref="B10:D10"/>
  </mergeCells>
  <printOptions/>
  <pageMargins left="0.25" right="0.25" top="0.65" bottom="1" header="0" footer="0"/>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Hoja3"/>
  <dimension ref="B2:I62"/>
  <sheetViews>
    <sheetView showGridLines="0" showRowColHeaders="0" workbookViewId="0" topLeftCell="A33">
      <selection activeCell="D51" sqref="D51"/>
    </sheetView>
  </sheetViews>
  <sheetFormatPr defaultColWidth="11.00390625" defaultRowHeight="15.75"/>
  <cols>
    <col min="1" max="1" width="5.25390625" style="0" customWidth="1"/>
    <col min="4" max="4" width="13.25390625" style="0" customWidth="1"/>
    <col min="5" max="5" width="4.125" style="0" customWidth="1"/>
    <col min="7" max="7" width="16.50390625" style="0" customWidth="1"/>
    <col min="8" max="8" width="9.625" style="0" customWidth="1"/>
  </cols>
  <sheetData>
    <row r="2" spans="2:7" ht="18.75">
      <c r="B2" s="163" t="s">
        <v>157</v>
      </c>
      <c r="C2" s="163"/>
      <c r="D2" s="163"/>
      <c r="E2" s="163"/>
      <c r="F2" s="163"/>
      <c r="G2" s="163"/>
    </row>
    <row r="3" spans="2:7" ht="18.75">
      <c r="B3" s="52"/>
      <c r="C3" s="52"/>
      <c r="D3" s="52"/>
      <c r="E3" s="52"/>
      <c r="F3" s="52"/>
      <c r="G3" s="52"/>
    </row>
    <row r="4" spans="2:7" ht="18.75" customHeight="1">
      <c r="B4" s="164" t="s">
        <v>146</v>
      </c>
      <c r="C4" s="164"/>
      <c r="D4" s="164"/>
      <c r="E4" s="164"/>
      <c r="F4" s="164"/>
      <c r="G4" s="164"/>
    </row>
    <row r="15" ht="15.75">
      <c r="G15" t="s">
        <v>143</v>
      </c>
    </row>
    <row r="21" spans="2:9" ht="15.75">
      <c r="B21" s="165" t="s">
        <v>13</v>
      </c>
      <c r="C21" s="165"/>
      <c r="D21" s="165"/>
      <c r="E21" s="165"/>
      <c r="F21" s="165"/>
      <c r="G21" s="165"/>
      <c r="H21" s="5"/>
      <c r="I21" s="5"/>
    </row>
    <row r="22" spans="2:9" ht="15.75">
      <c r="B22" s="16"/>
      <c r="C22" s="16"/>
      <c r="D22" s="16"/>
      <c r="E22" s="16"/>
      <c r="F22" s="16"/>
      <c r="H22" s="7"/>
      <c r="I22" s="7"/>
    </row>
    <row r="23" spans="2:9" ht="15.75">
      <c r="B23" t="s">
        <v>17</v>
      </c>
      <c r="C23" s="166"/>
      <c r="D23" s="166"/>
      <c r="E23" s="16"/>
      <c r="F23" s="12" t="s">
        <v>9</v>
      </c>
      <c r="G23" s="12"/>
      <c r="H23" s="162" t="s">
        <v>145</v>
      </c>
      <c r="I23" s="162"/>
    </row>
    <row r="24" spans="2:9" ht="15.75">
      <c r="B24" t="s">
        <v>19</v>
      </c>
      <c r="C24" s="167" t="s">
        <v>140</v>
      </c>
      <c r="D24" s="167"/>
      <c r="E24" s="16"/>
      <c r="F24" s="168" t="s">
        <v>10</v>
      </c>
      <c r="G24" s="168"/>
      <c r="H24" s="169" t="s">
        <v>141</v>
      </c>
      <c r="I24" s="169"/>
    </row>
    <row r="25" spans="2:9" ht="15.75">
      <c r="B25" t="s">
        <v>18</v>
      </c>
      <c r="C25" s="20"/>
      <c r="D25" s="21"/>
      <c r="E25" s="16"/>
      <c r="F25" s="168" t="s">
        <v>11</v>
      </c>
      <c r="G25" s="168"/>
      <c r="H25" s="169">
        <v>1</v>
      </c>
      <c r="I25" s="169"/>
    </row>
    <row r="28" spans="2:6" ht="15.75">
      <c r="B28" s="170" t="s">
        <v>68</v>
      </c>
      <c r="C28" s="170"/>
      <c r="D28" s="170"/>
      <c r="E28" s="11"/>
      <c r="F28" s="11" t="s">
        <v>14</v>
      </c>
    </row>
    <row r="29" spans="2:6" ht="15.75">
      <c r="B29" s="168" t="s">
        <v>112</v>
      </c>
      <c r="C29" s="168"/>
      <c r="D29" s="168"/>
      <c r="F29" s="13">
        <v>0.25</v>
      </c>
    </row>
    <row r="30" spans="2:6" ht="15.75">
      <c r="B30" s="168" t="s">
        <v>69</v>
      </c>
      <c r="C30" s="168"/>
      <c r="D30" s="168"/>
      <c r="F30" s="14">
        <v>0.0625</v>
      </c>
    </row>
    <row r="31" spans="2:6" ht="15.75">
      <c r="B31" s="168" t="s">
        <v>12</v>
      </c>
      <c r="C31" s="168"/>
      <c r="D31" s="168"/>
      <c r="F31" s="14" t="s">
        <v>142</v>
      </c>
    </row>
    <row r="32" spans="2:6" ht="18.75">
      <c r="B32" s="168" t="s">
        <v>70</v>
      </c>
      <c r="C32" s="168"/>
      <c r="D32" s="168"/>
      <c r="F32" s="14">
        <v>0.02</v>
      </c>
    </row>
    <row r="33" spans="2:6" ht="15.75">
      <c r="B33" s="28" t="s">
        <v>71</v>
      </c>
      <c r="C33" s="28"/>
      <c r="D33" s="28"/>
      <c r="E33" s="28"/>
      <c r="F33" s="14">
        <v>18</v>
      </c>
    </row>
    <row r="34" spans="2:6" ht="15.75">
      <c r="B34" s="171" t="s">
        <v>111</v>
      </c>
      <c r="C34" s="171"/>
      <c r="D34" s="171"/>
      <c r="E34" s="3"/>
      <c r="F34" s="14">
        <v>21</v>
      </c>
    </row>
    <row r="35" spans="2:6" ht="15.75">
      <c r="B35" s="168" t="s">
        <v>72</v>
      </c>
      <c r="C35" s="168"/>
      <c r="D35" s="168"/>
      <c r="E35" s="3"/>
      <c r="F35" s="30">
        <v>1000000</v>
      </c>
    </row>
    <row r="36" spans="2:6" ht="15.75">
      <c r="B36" s="168" t="s">
        <v>73</v>
      </c>
      <c r="C36" s="168"/>
      <c r="D36" s="168"/>
      <c r="E36" s="3"/>
      <c r="F36" s="53">
        <v>1</v>
      </c>
    </row>
    <row r="37" spans="2:6" ht="15.75">
      <c r="B37" s="168" t="s">
        <v>74</v>
      </c>
      <c r="C37" s="168"/>
      <c r="D37" s="168"/>
      <c r="E37" s="15"/>
      <c r="F37" s="54">
        <v>0.001</v>
      </c>
    </row>
    <row r="38" spans="2:6" ht="15.75">
      <c r="B38" s="12" t="s">
        <v>75</v>
      </c>
      <c r="C38" s="3"/>
      <c r="D38" s="3"/>
      <c r="E38" s="3"/>
      <c r="F38" s="54">
        <v>0.05</v>
      </c>
    </row>
    <row r="39" spans="2:6" ht="15.75">
      <c r="B39" s="19" t="s">
        <v>76</v>
      </c>
      <c r="C39" s="11"/>
      <c r="D39" s="11"/>
      <c r="E39" s="3"/>
      <c r="F39" s="54">
        <v>0.0002</v>
      </c>
    </row>
    <row r="40" spans="2:6" ht="15.75">
      <c r="B40" s="168" t="s">
        <v>77</v>
      </c>
      <c r="C40" s="168"/>
      <c r="D40" s="168"/>
      <c r="E40" s="3"/>
      <c r="F40" s="13">
        <v>4</v>
      </c>
    </row>
    <row r="41" spans="2:6" ht="18.75">
      <c r="B41" s="12" t="s">
        <v>78</v>
      </c>
      <c r="C41" s="3"/>
      <c r="D41" s="3"/>
      <c r="E41" s="3"/>
      <c r="F41" s="14">
        <v>3</v>
      </c>
    </row>
    <row r="42" spans="2:6" ht="18.75">
      <c r="B42" t="s">
        <v>115</v>
      </c>
      <c r="F42" s="14">
        <v>5</v>
      </c>
    </row>
    <row r="43" spans="2:6" ht="18.75">
      <c r="B43" t="s">
        <v>114</v>
      </c>
      <c r="F43" s="14">
        <v>0.6</v>
      </c>
    </row>
    <row r="44" spans="2:6" ht="18.75">
      <c r="B44" s="12" t="s">
        <v>119</v>
      </c>
      <c r="F44" s="14">
        <v>1.6</v>
      </c>
    </row>
    <row r="45" spans="2:6" ht="18.75">
      <c r="B45" t="s">
        <v>79</v>
      </c>
      <c r="F45" s="14">
        <v>2</v>
      </c>
    </row>
    <row r="46" spans="2:6" ht="18.75">
      <c r="B46" t="s">
        <v>80</v>
      </c>
      <c r="F46" s="14">
        <v>0.16</v>
      </c>
    </row>
    <row r="47" spans="2:6" ht="18.75">
      <c r="B47" t="s">
        <v>81</v>
      </c>
      <c r="F47" s="14">
        <v>18</v>
      </c>
    </row>
    <row r="48" spans="2:6" ht="15.75">
      <c r="B48" t="s">
        <v>139</v>
      </c>
      <c r="F48" s="14">
        <v>1</v>
      </c>
    </row>
    <row r="50" ht="24" customHeight="1"/>
    <row r="51" ht="24" customHeight="1"/>
    <row r="52" spans="2:8" ht="15.75">
      <c r="B52" s="36"/>
      <c r="C52" s="36"/>
      <c r="D52" s="36"/>
      <c r="E52" s="36"/>
      <c r="F52" s="37" t="s">
        <v>82</v>
      </c>
      <c r="G52" s="38" t="s">
        <v>84</v>
      </c>
      <c r="H52" s="38" t="s">
        <v>83</v>
      </c>
    </row>
    <row r="53" spans="2:8" ht="18.75">
      <c r="B53" s="36"/>
      <c r="C53" s="36"/>
      <c r="D53" s="36"/>
      <c r="E53" s="36"/>
      <c r="F53" s="37" t="s">
        <v>130</v>
      </c>
      <c r="G53" s="38" t="s">
        <v>131</v>
      </c>
      <c r="H53" s="38" t="s">
        <v>132</v>
      </c>
    </row>
    <row r="54" spans="2:9" ht="15.75">
      <c r="B54" s="39" t="s">
        <v>86</v>
      </c>
      <c r="C54" s="39"/>
      <c r="D54" s="39"/>
      <c r="E54" s="39"/>
      <c r="F54" s="58">
        <v>207.94251661532678</v>
      </c>
      <c r="G54" s="42">
        <v>137.37803239749888</v>
      </c>
      <c r="H54" s="49">
        <v>25.787685262329138</v>
      </c>
      <c r="I54" s="5"/>
    </row>
    <row r="55" spans="2:9" ht="15.75">
      <c r="B55" s="39" t="s">
        <v>87</v>
      </c>
      <c r="C55" s="39"/>
      <c r="D55" s="39"/>
      <c r="E55" s="39"/>
      <c r="F55" s="59">
        <v>43.915639918347104</v>
      </c>
      <c r="G55" s="42">
        <v>24.702547454070245</v>
      </c>
      <c r="H55" s="49">
        <v>4.117091242345041</v>
      </c>
      <c r="I55" s="5"/>
    </row>
    <row r="56" spans="2:9" ht="15.75">
      <c r="B56" s="39" t="s">
        <v>88</v>
      </c>
      <c r="C56" s="39"/>
      <c r="D56" s="39"/>
      <c r="E56" s="39"/>
      <c r="F56" s="59">
        <v>28.97983636405263</v>
      </c>
      <c r="G56" s="42">
        <v>16.301157954779605</v>
      </c>
      <c r="H56" s="42">
        <v>2.716859659129934</v>
      </c>
      <c r="I56" s="5"/>
    </row>
    <row r="57" spans="2:9" ht="15.75">
      <c r="B57" s="39" t="s">
        <v>90</v>
      </c>
      <c r="C57" s="39"/>
      <c r="D57" s="39"/>
      <c r="E57" s="39"/>
      <c r="F57" s="59">
        <v>136.89115599993164</v>
      </c>
      <c r="G57" s="42">
        <v>90.43767465158956</v>
      </c>
      <c r="H57" s="49">
        <v>16.976355310025344</v>
      </c>
      <c r="I57" s="5"/>
    </row>
    <row r="58" spans="2:9" ht="15.75">
      <c r="B58" s="39" t="s">
        <v>89</v>
      </c>
      <c r="C58" s="39"/>
      <c r="D58" s="39"/>
      <c r="E58" s="39"/>
      <c r="F58" s="59">
        <v>66.4681605550104</v>
      </c>
      <c r="G58" s="42">
        <v>66.4681605550104</v>
      </c>
      <c r="H58" s="49">
        <v>150.85392145690233</v>
      </c>
      <c r="I58" s="5"/>
    </row>
    <row r="59" spans="2:9" ht="15.75">
      <c r="B59" s="39" t="s">
        <v>85</v>
      </c>
      <c r="C59" s="39"/>
      <c r="D59" s="39"/>
      <c r="E59" s="39"/>
      <c r="F59" s="59">
        <v>32.433050281841226</v>
      </c>
      <c r="G59" s="42">
        <v>32.433050281841226</v>
      </c>
      <c r="H59" s="49">
        <v>92.30945080216348</v>
      </c>
      <c r="I59" s="5"/>
    </row>
    <row r="60" spans="2:9" ht="15.75">
      <c r="B60" s="39" t="s">
        <v>91</v>
      </c>
      <c r="C60" s="39"/>
      <c r="D60" s="39"/>
      <c r="E60" s="39"/>
      <c r="F60" s="60">
        <v>153.9927942340168</v>
      </c>
      <c r="G60" s="42">
        <v>101.73593846802011</v>
      </c>
      <c r="H60" s="42">
        <v>19.097189814816062</v>
      </c>
      <c r="I60" s="5"/>
    </row>
    <row r="61" spans="2:9" ht="15.75">
      <c r="B61" s="39"/>
      <c r="C61" s="39"/>
      <c r="D61" s="39"/>
      <c r="E61" s="39"/>
      <c r="F61" s="40"/>
      <c r="G61" s="40"/>
      <c r="H61" s="50"/>
      <c r="I61" s="5"/>
    </row>
    <row r="62" spans="2:8" ht="15.75">
      <c r="B62" s="41" t="s">
        <v>92</v>
      </c>
      <c r="C62" s="41"/>
      <c r="D62" s="41"/>
      <c r="E62" s="39"/>
      <c r="F62" s="43">
        <v>208</v>
      </c>
      <c r="G62" s="43">
        <v>137.37803239749888</v>
      </c>
      <c r="H62" s="48">
        <v>150.85392145690233</v>
      </c>
    </row>
  </sheetData>
  <sheetProtection password="CC3B" sheet="1" objects="1" scenarios="1"/>
  <mergeCells count="20">
    <mergeCell ref="B37:D37"/>
    <mergeCell ref="B40:D40"/>
    <mergeCell ref="B32:D32"/>
    <mergeCell ref="B34:D34"/>
    <mergeCell ref="B35:D35"/>
    <mergeCell ref="B36:D36"/>
    <mergeCell ref="B28:D28"/>
    <mergeCell ref="B29:D29"/>
    <mergeCell ref="B30:D30"/>
    <mergeCell ref="B31:D31"/>
    <mergeCell ref="C24:D24"/>
    <mergeCell ref="F24:G24"/>
    <mergeCell ref="H24:I24"/>
    <mergeCell ref="F25:G25"/>
    <mergeCell ref="H25:I25"/>
    <mergeCell ref="H23:I23"/>
    <mergeCell ref="B2:G2"/>
    <mergeCell ref="B4:G4"/>
    <mergeCell ref="B21:G21"/>
    <mergeCell ref="C23:D23"/>
  </mergeCells>
  <printOptions/>
  <pageMargins left="0.75" right="0.75" top="1" bottom="1" header="0" footer="0"/>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Hoja5"/>
  <dimension ref="B2:I59"/>
  <sheetViews>
    <sheetView showGridLines="0" showRowColHeaders="0" workbookViewId="0" topLeftCell="A2">
      <selection activeCell="I6" sqref="I6"/>
    </sheetView>
  </sheetViews>
  <sheetFormatPr defaultColWidth="11.00390625" defaultRowHeight="15.75"/>
  <cols>
    <col min="1" max="1" width="5.25390625" style="0" customWidth="1"/>
    <col min="4" max="4" width="13.25390625" style="0" customWidth="1"/>
    <col min="5" max="5" width="4.125" style="0" customWidth="1"/>
    <col min="7" max="7" width="16.50390625" style="0" customWidth="1"/>
    <col min="8" max="8" width="9.625" style="0" customWidth="1"/>
  </cols>
  <sheetData>
    <row r="2" spans="2:9" ht="18.75">
      <c r="B2" s="177" t="s">
        <v>156</v>
      </c>
      <c r="C2" s="177"/>
      <c r="D2" s="177"/>
      <c r="E2" s="177"/>
      <c r="F2" s="177"/>
      <c r="G2" s="177"/>
      <c r="H2" s="69"/>
      <c r="I2" s="69"/>
    </row>
    <row r="3" spans="2:9" ht="18.75">
      <c r="B3" s="91"/>
      <c r="C3" s="91"/>
      <c r="D3" s="91"/>
      <c r="E3" s="91"/>
      <c r="F3" s="91"/>
      <c r="G3" s="91"/>
      <c r="H3" s="69"/>
      <c r="I3" s="69"/>
    </row>
    <row r="4" spans="2:9" ht="18.75" customHeight="1">
      <c r="B4" s="178" t="s">
        <v>147</v>
      </c>
      <c r="C4" s="178"/>
      <c r="D4" s="178"/>
      <c r="E4" s="178"/>
      <c r="F4" s="178"/>
      <c r="G4" s="178"/>
      <c r="H4" s="69"/>
      <c r="I4" s="69"/>
    </row>
    <row r="5" spans="2:9" ht="21.75" customHeight="1">
      <c r="B5" s="69"/>
      <c r="C5" s="69"/>
      <c r="D5" s="69"/>
      <c r="E5" s="69"/>
      <c r="F5" s="69"/>
      <c r="G5" s="69"/>
      <c r="H5" s="69"/>
      <c r="I5" s="69"/>
    </row>
    <row r="6" spans="2:9" ht="15.75">
      <c r="B6" s="69"/>
      <c r="C6" s="69"/>
      <c r="D6" s="69"/>
      <c r="E6" s="69"/>
      <c r="F6" s="69"/>
      <c r="G6" s="69"/>
      <c r="H6" s="69"/>
      <c r="I6" s="69"/>
    </row>
    <row r="7" spans="2:9" ht="15.75">
      <c r="B7" s="69"/>
      <c r="C7" s="69"/>
      <c r="D7" s="69"/>
      <c r="E7" s="69"/>
      <c r="F7" s="69"/>
      <c r="G7" s="69"/>
      <c r="H7" s="69"/>
      <c r="I7" s="69"/>
    </row>
    <row r="8" spans="2:9" ht="15.75">
      <c r="B8" s="69"/>
      <c r="C8" s="69"/>
      <c r="D8" s="69"/>
      <c r="E8" s="69"/>
      <c r="F8" s="69"/>
      <c r="G8" s="69"/>
      <c r="H8" s="69"/>
      <c r="I8" s="69"/>
    </row>
    <row r="9" spans="2:9" ht="15.75">
      <c r="B9" s="69"/>
      <c r="C9" s="69"/>
      <c r="D9" s="69"/>
      <c r="E9" s="69"/>
      <c r="F9" s="69"/>
      <c r="G9" s="69"/>
      <c r="H9" s="69"/>
      <c r="I9" s="69"/>
    </row>
    <row r="10" spans="2:9" ht="15.75">
      <c r="B10" s="69"/>
      <c r="C10" s="69"/>
      <c r="D10" s="69"/>
      <c r="E10" s="69"/>
      <c r="F10" s="69"/>
      <c r="G10" s="69"/>
      <c r="H10" s="69"/>
      <c r="I10" s="69"/>
    </row>
    <row r="11" spans="2:9" ht="15.75">
      <c r="B11" s="69"/>
      <c r="C11" s="69"/>
      <c r="D11" s="69"/>
      <c r="E11" s="69"/>
      <c r="F11" s="69"/>
      <c r="G11" s="69"/>
      <c r="H11" s="69"/>
      <c r="I11" s="69"/>
    </row>
    <row r="12" spans="2:9" ht="15.75">
      <c r="B12" s="69"/>
      <c r="C12" s="69"/>
      <c r="D12" s="69"/>
      <c r="E12" s="69"/>
      <c r="F12" s="69"/>
      <c r="G12" s="69"/>
      <c r="H12" s="69"/>
      <c r="I12" s="69"/>
    </row>
    <row r="13" spans="2:9" ht="15.75">
      <c r="B13" s="69"/>
      <c r="C13" s="69"/>
      <c r="D13" s="69"/>
      <c r="E13" s="69"/>
      <c r="F13" s="69"/>
      <c r="G13" s="69"/>
      <c r="H13" s="69"/>
      <c r="I13" s="69"/>
    </row>
    <row r="14" spans="2:9" ht="15.75">
      <c r="B14" s="69"/>
      <c r="C14" s="69"/>
      <c r="D14" s="69"/>
      <c r="E14" s="69"/>
      <c r="F14" s="69"/>
      <c r="G14" s="69"/>
      <c r="H14" s="69"/>
      <c r="I14" s="69"/>
    </row>
    <row r="15" spans="2:9" ht="15.75">
      <c r="B15" s="69"/>
      <c r="C15" s="69"/>
      <c r="D15" s="69"/>
      <c r="E15" s="69"/>
      <c r="F15" s="69"/>
      <c r="G15" s="69" t="s">
        <v>143</v>
      </c>
      <c r="H15" s="69"/>
      <c r="I15" s="69"/>
    </row>
    <row r="16" spans="2:9" ht="15.75">
      <c r="B16" s="69"/>
      <c r="C16" s="69"/>
      <c r="D16" s="69"/>
      <c r="E16" s="69"/>
      <c r="F16" s="69"/>
      <c r="G16" s="69"/>
      <c r="H16" s="69"/>
      <c r="I16" s="69"/>
    </row>
    <row r="17" spans="2:9" ht="15.75">
      <c r="B17" s="69"/>
      <c r="C17" s="69"/>
      <c r="D17" s="69"/>
      <c r="E17" s="69"/>
      <c r="F17" s="69"/>
      <c r="G17" s="69"/>
      <c r="H17" s="69"/>
      <c r="I17" s="69"/>
    </row>
    <row r="18" spans="2:9" ht="15.75">
      <c r="B18" s="69"/>
      <c r="C18" s="69"/>
      <c r="D18" s="69"/>
      <c r="E18" s="69"/>
      <c r="F18" s="69"/>
      <c r="G18" s="69"/>
      <c r="H18" s="69"/>
      <c r="I18" s="69"/>
    </row>
    <row r="19" spans="2:9" ht="15.75">
      <c r="B19" s="69"/>
      <c r="C19" s="69"/>
      <c r="D19" s="69"/>
      <c r="E19" s="69"/>
      <c r="F19" s="69"/>
      <c r="G19" s="69"/>
      <c r="H19" s="69"/>
      <c r="I19" s="69"/>
    </row>
    <row r="20" spans="2:9" ht="15.75">
      <c r="B20" s="69"/>
      <c r="C20" s="69"/>
      <c r="D20" s="69"/>
      <c r="E20" s="69"/>
      <c r="F20" s="69"/>
      <c r="G20" s="69"/>
      <c r="H20" s="69"/>
      <c r="I20" s="69"/>
    </row>
    <row r="21" spans="2:9" ht="15.75">
      <c r="B21" s="69"/>
      <c r="C21" s="69"/>
      <c r="D21" s="69"/>
      <c r="E21" s="69"/>
      <c r="F21" s="69"/>
      <c r="G21" s="69"/>
      <c r="H21" s="69"/>
      <c r="I21" s="69"/>
    </row>
    <row r="22" spans="2:9" ht="15.75">
      <c r="B22" s="179" t="s">
        <v>15</v>
      </c>
      <c r="C22" s="179"/>
      <c r="D22" s="179"/>
      <c r="E22" s="179"/>
      <c r="F22" s="179"/>
      <c r="G22" s="179"/>
      <c r="H22" s="5"/>
      <c r="I22" s="5"/>
    </row>
    <row r="23" spans="2:9" ht="15.75">
      <c r="B23" s="68"/>
      <c r="C23" s="68"/>
      <c r="D23" s="68"/>
      <c r="E23" s="68"/>
      <c r="F23" s="68"/>
      <c r="G23" s="69"/>
      <c r="H23" s="7"/>
      <c r="I23" s="7"/>
    </row>
    <row r="24" spans="2:9" ht="15.75">
      <c r="B24" s="69" t="s">
        <v>17</v>
      </c>
      <c r="C24" s="180"/>
      <c r="D24" s="180"/>
      <c r="E24" s="68"/>
      <c r="F24" s="70" t="s">
        <v>9</v>
      </c>
      <c r="G24" s="70"/>
      <c r="H24" s="175" t="s">
        <v>148</v>
      </c>
      <c r="I24" s="175"/>
    </row>
    <row r="25" spans="2:9" ht="15.75">
      <c r="B25" s="69" t="s">
        <v>19</v>
      </c>
      <c r="C25" s="176" t="s">
        <v>140</v>
      </c>
      <c r="D25" s="176"/>
      <c r="E25" s="68"/>
      <c r="F25" s="174" t="s">
        <v>10</v>
      </c>
      <c r="G25" s="174"/>
      <c r="H25" s="172" t="s">
        <v>149</v>
      </c>
      <c r="I25" s="172"/>
    </row>
    <row r="26" spans="2:9" ht="15.75">
      <c r="B26" s="69" t="s">
        <v>18</v>
      </c>
      <c r="C26" s="71"/>
      <c r="D26" s="72"/>
      <c r="E26" s="68"/>
      <c r="F26" s="174" t="s">
        <v>11</v>
      </c>
      <c r="G26" s="174"/>
      <c r="H26" s="172">
        <v>2</v>
      </c>
      <c r="I26" s="172"/>
    </row>
    <row r="27" spans="2:9" ht="15.75">
      <c r="B27" s="73"/>
      <c r="C27" s="73"/>
      <c r="D27" s="73"/>
      <c r="E27" s="68"/>
      <c r="F27" s="68"/>
      <c r="G27" s="69"/>
      <c r="H27" s="5"/>
      <c r="I27" s="5"/>
    </row>
    <row r="28" spans="2:9" ht="15.75">
      <c r="B28" s="68"/>
      <c r="C28" s="68"/>
      <c r="D28" s="68"/>
      <c r="E28" s="92"/>
      <c r="F28" s="68"/>
      <c r="G28" s="69"/>
      <c r="H28" s="5"/>
      <c r="I28" s="5"/>
    </row>
    <row r="29" spans="2:9" ht="15.75">
      <c r="B29" s="173" t="s">
        <v>68</v>
      </c>
      <c r="C29" s="173"/>
      <c r="D29" s="173"/>
      <c r="E29" s="74"/>
      <c r="F29" s="74" t="s">
        <v>14</v>
      </c>
      <c r="G29" s="69"/>
      <c r="H29" s="5"/>
      <c r="I29" s="5"/>
    </row>
    <row r="30" spans="2:9" ht="15.75">
      <c r="B30" s="174" t="s">
        <v>69</v>
      </c>
      <c r="C30" s="174"/>
      <c r="D30" s="174"/>
      <c r="E30" s="69"/>
      <c r="F30" s="77">
        <v>1</v>
      </c>
      <c r="G30" s="69"/>
      <c r="H30" s="5"/>
      <c r="I30" s="5"/>
    </row>
    <row r="31" spans="2:9" ht="15.75">
      <c r="B31" s="174" t="s">
        <v>12</v>
      </c>
      <c r="C31" s="174"/>
      <c r="D31" s="174"/>
      <c r="E31" s="69"/>
      <c r="F31" s="77" t="s">
        <v>138</v>
      </c>
      <c r="G31" s="69"/>
      <c r="H31" s="5"/>
      <c r="I31" s="5"/>
    </row>
    <row r="32" spans="2:9" ht="18.75">
      <c r="B32" s="174" t="s">
        <v>70</v>
      </c>
      <c r="C32" s="174"/>
      <c r="D32" s="174"/>
      <c r="E32" s="69"/>
      <c r="F32" s="77">
        <v>0.02</v>
      </c>
      <c r="G32" s="69"/>
      <c r="H32" s="5"/>
      <c r="I32" s="5"/>
    </row>
    <row r="33" spans="2:9" ht="15.75">
      <c r="B33" s="78" t="s">
        <v>71</v>
      </c>
      <c r="C33" s="78"/>
      <c r="D33" s="78"/>
      <c r="E33" s="78"/>
      <c r="F33" s="77">
        <v>18</v>
      </c>
      <c r="G33" s="69"/>
      <c r="H33" s="5"/>
      <c r="I33" s="5"/>
    </row>
    <row r="34" spans="2:9" ht="15.75">
      <c r="B34" s="174" t="s">
        <v>72</v>
      </c>
      <c r="C34" s="174"/>
      <c r="D34" s="174"/>
      <c r="E34" s="79"/>
      <c r="F34" s="80">
        <v>1000000</v>
      </c>
      <c r="G34" s="69"/>
      <c r="H34" s="5"/>
      <c r="I34" s="5"/>
    </row>
    <row r="35" spans="2:9" ht="15.75">
      <c r="B35" s="174" t="s">
        <v>73</v>
      </c>
      <c r="C35" s="174"/>
      <c r="D35" s="174"/>
      <c r="E35" s="79"/>
      <c r="F35" s="77">
        <v>2</v>
      </c>
      <c r="G35" s="69"/>
      <c r="H35" s="5"/>
      <c r="I35" s="5"/>
    </row>
    <row r="36" spans="2:9" ht="15.75">
      <c r="B36" s="174" t="s">
        <v>74</v>
      </c>
      <c r="C36" s="174"/>
      <c r="D36" s="174"/>
      <c r="E36" s="81"/>
      <c r="F36" s="82">
        <v>0.001</v>
      </c>
      <c r="G36" s="69"/>
      <c r="H36" s="5"/>
      <c r="I36" s="5"/>
    </row>
    <row r="37" spans="2:9" ht="17.25" customHeight="1">
      <c r="B37" s="83" t="s">
        <v>76</v>
      </c>
      <c r="C37" s="74"/>
      <c r="D37" s="74"/>
      <c r="E37" s="79"/>
      <c r="F37" s="93">
        <v>0.0002</v>
      </c>
      <c r="G37" s="69"/>
      <c r="H37" s="5"/>
      <c r="I37" s="5"/>
    </row>
    <row r="38" spans="2:9" ht="18.75">
      <c r="B38" s="70" t="s">
        <v>78</v>
      </c>
      <c r="C38" s="79"/>
      <c r="D38" s="79"/>
      <c r="E38" s="79"/>
      <c r="F38" s="77">
        <v>5</v>
      </c>
      <c r="G38" s="69"/>
      <c r="H38" s="5"/>
      <c r="I38" s="5"/>
    </row>
    <row r="39" spans="2:9" ht="18.75">
      <c r="B39" s="69" t="s">
        <v>115</v>
      </c>
      <c r="C39" s="69"/>
      <c r="D39" s="69"/>
      <c r="E39" s="69"/>
      <c r="F39" s="77">
        <v>7</v>
      </c>
      <c r="G39" s="69"/>
      <c r="H39" s="5"/>
      <c r="I39" s="5"/>
    </row>
    <row r="40" spans="2:9" ht="18.75">
      <c r="B40" s="69" t="s">
        <v>114</v>
      </c>
      <c r="C40" s="69"/>
      <c r="D40" s="69"/>
      <c r="E40" s="69"/>
      <c r="F40" s="77">
        <v>2</v>
      </c>
      <c r="G40" s="69"/>
      <c r="H40" s="5"/>
      <c r="I40" s="5"/>
    </row>
    <row r="41" spans="2:9" ht="18.75">
      <c r="B41" s="70" t="s">
        <v>119</v>
      </c>
      <c r="C41" s="69"/>
      <c r="D41" s="69"/>
      <c r="E41" s="69"/>
      <c r="F41" s="77">
        <v>5</v>
      </c>
      <c r="G41" s="69"/>
      <c r="H41" s="5"/>
      <c r="I41" s="5"/>
    </row>
    <row r="42" spans="2:9" ht="18.75">
      <c r="B42" s="69" t="s">
        <v>79</v>
      </c>
      <c r="C42" s="69"/>
      <c r="D42" s="69"/>
      <c r="E42" s="69"/>
      <c r="F42" s="77">
        <v>5</v>
      </c>
      <c r="G42" s="69"/>
      <c r="H42" s="5"/>
      <c r="I42" s="5"/>
    </row>
    <row r="43" spans="2:9" ht="18.75">
      <c r="B43" s="69" t="s">
        <v>80</v>
      </c>
      <c r="C43" s="69"/>
      <c r="D43" s="69"/>
      <c r="E43" s="69"/>
      <c r="F43" s="77">
        <v>0.16</v>
      </c>
      <c r="G43" s="69"/>
      <c r="H43" s="5"/>
      <c r="I43" s="5"/>
    </row>
    <row r="44" spans="2:9" ht="18.75">
      <c r="B44" s="69" t="s">
        <v>81</v>
      </c>
      <c r="C44" s="69"/>
      <c r="D44" s="69"/>
      <c r="E44" s="69"/>
      <c r="F44" s="77">
        <v>58.5</v>
      </c>
      <c r="G44" s="69"/>
      <c r="H44" s="5"/>
      <c r="I44" s="5"/>
    </row>
    <row r="45" spans="2:9" ht="15.75">
      <c r="B45" s="69" t="s">
        <v>139</v>
      </c>
      <c r="C45" s="69"/>
      <c r="D45" s="69"/>
      <c r="E45" s="69"/>
      <c r="F45" s="77">
        <v>1</v>
      </c>
      <c r="G45" s="69"/>
      <c r="H45" s="5"/>
      <c r="I45" s="5"/>
    </row>
    <row r="46" spans="2:9" ht="15.75">
      <c r="B46" s="69"/>
      <c r="C46" s="69"/>
      <c r="D46" s="69"/>
      <c r="E46" s="69"/>
      <c r="F46" s="69"/>
      <c r="G46" s="69"/>
      <c r="H46" s="5"/>
      <c r="I46" s="5"/>
    </row>
    <row r="47" spans="2:9" ht="15.75">
      <c r="B47" s="69"/>
      <c r="C47" s="69"/>
      <c r="D47" s="69"/>
      <c r="E47" s="69"/>
      <c r="F47" s="69"/>
      <c r="G47" s="69"/>
      <c r="H47" s="5"/>
      <c r="I47" s="5"/>
    </row>
    <row r="48" spans="2:9" ht="24" customHeight="1">
      <c r="B48" s="94"/>
      <c r="C48" s="94"/>
      <c r="D48" s="94"/>
      <c r="E48" s="94"/>
      <c r="F48" s="86" t="s">
        <v>82</v>
      </c>
      <c r="G48" s="87" t="s">
        <v>84</v>
      </c>
      <c r="H48" s="87" t="s">
        <v>83</v>
      </c>
      <c r="I48" s="69"/>
    </row>
    <row r="49" spans="2:9" ht="18.75">
      <c r="B49" s="94"/>
      <c r="C49" s="94"/>
      <c r="D49" s="94"/>
      <c r="E49" s="94"/>
      <c r="F49" s="86" t="s">
        <v>130</v>
      </c>
      <c r="G49" s="87" t="s">
        <v>131</v>
      </c>
      <c r="H49" s="87" t="s">
        <v>132</v>
      </c>
      <c r="I49" s="69"/>
    </row>
    <row r="50" spans="2:9" ht="15.75">
      <c r="B50" s="88" t="s">
        <v>87</v>
      </c>
      <c r="C50" s="88"/>
      <c r="D50" s="88"/>
      <c r="E50" s="88"/>
      <c r="F50" s="42">
        <v>60.89887958374219</v>
      </c>
      <c r="G50" s="42">
        <v>34.25561976585498</v>
      </c>
      <c r="H50" s="49">
        <v>5.70926996097583</v>
      </c>
      <c r="I50" s="69"/>
    </row>
    <row r="51" spans="2:9" ht="15.75">
      <c r="B51" s="88" t="s">
        <v>88</v>
      </c>
      <c r="C51" s="88"/>
      <c r="D51" s="88"/>
      <c r="E51" s="88"/>
      <c r="F51" s="42">
        <v>41.936445286463076</v>
      </c>
      <c r="G51" s="42">
        <v>23.58925047363548</v>
      </c>
      <c r="H51" s="42">
        <v>3.931541745605913</v>
      </c>
      <c r="I51" s="69"/>
    </row>
    <row r="52" spans="2:9" ht="15.75">
      <c r="B52" s="88" t="s">
        <v>90</v>
      </c>
      <c r="C52" s="88"/>
      <c r="D52" s="88"/>
      <c r="E52" s="88"/>
      <c r="F52" s="42">
        <v>159.75136061539513</v>
      </c>
      <c r="G52" s="42">
        <v>105.5403577459093</v>
      </c>
      <c r="H52" s="49">
        <v>19.811329952303794</v>
      </c>
      <c r="I52" s="69"/>
    </row>
    <row r="53" spans="2:9" ht="15.75">
      <c r="B53" s="88" t="s">
        <v>89</v>
      </c>
      <c r="C53" s="88"/>
      <c r="D53" s="88"/>
      <c r="E53" s="88"/>
      <c r="F53" s="42">
        <v>82.6329598612474</v>
      </c>
      <c r="G53" s="42">
        <v>82.6329598612474</v>
      </c>
      <c r="H53" s="49">
        <v>193.28651963577443</v>
      </c>
      <c r="I53" s="69"/>
    </row>
    <row r="54" spans="2:9" ht="15.75">
      <c r="B54" s="88" t="s">
        <v>85</v>
      </c>
      <c r="C54" s="88"/>
      <c r="D54" s="88"/>
      <c r="E54" s="88"/>
      <c r="F54" s="42">
        <v>46.82677988726351</v>
      </c>
      <c r="G54" s="42">
        <v>46.82677988726351</v>
      </c>
      <c r="H54" s="42">
        <v>133.2762196791346</v>
      </c>
      <c r="I54" s="69"/>
    </row>
    <row r="55" spans="2:9" ht="15.75">
      <c r="B55" s="88"/>
      <c r="C55" s="88"/>
      <c r="D55" s="88"/>
      <c r="E55" s="88"/>
      <c r="F55" s="40"/>
      <c r="G55" s="40"/>
      <c r="H55" s="40"/>
      <c r="I55" s="69"/>
    </row>
    <row r="56" spans="2:9" ht="15.75">
      <c r="B56" s="89" t="s">
        <v>92</v>
      </c>
      <c r="C56" s="89"/>
      <c r="D56" s="89"/>
      <c r="E56" s="88"/>
      <c r="F56" s="43">
        <v>160</v>
      </c>
      <c r="G56" s="43">
        <v>105.5403577459093</v>
      </c>
      <c r="H56" s="48">
        <v>193.28651963577443</v>
      </c>
      <c r="I56" s="69"/>
    </row>
    <row r="57" spans="2:9" ht="15.75">
      <c r="B57" s="69"/>
      <c r="C57" s="69"/>
      <c r="D57" s="69"/>
      <c r="E57" s="69"/>
      <c r="F57" s="69"/>
      <c r="G57" s="69"/>
      <c r="H57" s="69"/>
      <c r="I57" s="69"/>
    </row>
    <row r="58" spans="2:9" ht="15.75">
      <c r="B58" s="69"/>
      <c r="C58" s="69"/>
      <c r="D58" s="69"/>
      <c r="E58" s="69"/>
      <c r="F58" s="69"/>
      <c r="G58" s="69"/>
      <c r="H58" s="69"/>
      <c r="I58" s="69"/>
    </row>
    <row r="59" spans="2:9" ht="15.75">
      <c r="B59" s="69"/>
      <c r="C59" s="69"/>
      <c r="D59" s="69"/>
      <c r="E59" s="69"/>
      <c r="F59" s="69"/>
      <c r="G59" s="69"/>
      <c r="H59" s="69"/>
      <c r="I59" s="69"/>
    </row>
  </sheetData>
  <sheetProtection password="CC3B" sheet="1" objects="1" scenarios="1"/>
  <mergeCells count="17">
    <mergeCell ref="B36:D36"/>
    <mergeCell ref="B2:G2"/>
    <mergeCell ref="B4:G4"/>
    <mergeCell ref="B22:G22"/>
    <mergeCell ref="C24:D24"/>
    <mergeCell ref="F26:G26"/>
    <mergeCell ref="B32:D32"/>
    <mergeCell ref="B34:D34"/>
    <mergeCell ref="B35:D35"/>
    <mergeCell ref="H24:I24"/>
    <mergeCell ref="C25:D25"/>
    <mergeCell ref="F25:G25"/>
    <mergeCell ref="H25:I25"/>
    <mergeCell ref="H26:I26"/>
    <mergeCell ref="B29:D29"/>
    <mergeCell ref="B30:D30"/>
    <mergeCell ref="B31:D31"/>
  </mergeCells>
  <printOptions/>
  <pageMargins left="0.75" right="0.75" top="1" bottom="1" header="0" footer="0"/>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Hoja7"/>
  <dimension ref="A2:I58"/>
  <sheetViews>
    <sheetView showGridLines="0" showRowColHeaders="0" workbookViewId="0" topLeftCell="A40">
      <selection activeCell="F61" sqref="F61"/>
    </sheetView>
  </sheetViews>
  <sheetFormatPr defaultColWidth="11.00390625" defaultRowHeight="15.75"/>
  <cols>
    <col min="1" max="1" width="5.625" style="0" customWidth="1"/>
    <col min="4" max="4" width="12.75390625" style="0" customWidth="1"/>
    <col min="6" max="6" width="10.25390625" style="0" customWidth="1"/>
    <col min="7" max="7" width="9.75390625" style="0" customWidth="1"/>
    <col min="9" max="9" width="10.125" style="0" customWidth="1"/>
  </cols>
  <sheetData>
    <row r="2" spans="2:7" ht="18.75">
      <c r="B2" s="163" t="s">
        <v>150</v>
      </c>
      <c r="C2" s="163"/>
      <c r="D2" s="163"/>
      <c r="E2" s="163"/>
      <c r="F2" s="163"/>
      <c r="G2" s="163"/>
    </row>
    <row r="7" ht="15.75">
      <c r="H7" s="67"/>
    </row>
    <row r="22" spans="1:9" ht="15.75">
      <c r="A22" s="2"/>
      <c r="B22" s="179" t="s">
        <v>133</v>
      </c>
      <c r="C22" s="179"/>
      <c r="D22" s="179"/>
      <c r="E22" s="179"/>
      <c r="F22" s="179"/>
      <c r="G22" s="179"/>
      <c r="H22" s="5"/>
      <c r="I22" s="5"/>
    </row>
    <row r="23" spans="1:9" ht="15.75">
      <c r="A23" s="2"/>
      <c r="B23" s="68"/>
      <c r="C23" s="68"/>
      <c r="D23" s="68"/>
      <c r="E23" s="68"/>
      <c r="F23" s="68"/>
      <c r="G23" s="69"/>
      <c r="H23" s="7"/>
      <c r="I23" s="7"/>
    </row>
    <row r="24" spans="1:9" ht="15.75">
      <c r="A24" s="2"/>
      <c r="B24" s="69" t="s">
        <v>17</v>
      </c>
      <c r="C24" s="180"/>
      <c r="D24" s="180"/>
      <c r="E24" s="68"/>
      <c r="F24" s="70" t="s">
        <v>9</v>
      </c>
      <c r="G24" s="70"/>
      <c r="H24" s="175" t="s">
        <v>134</v>
      </c>
      <c r="I24" s="175"/>
    </row>
    <row r="25" spans="1:9" ht="15.75">
      <c r="A25" s="2"/>
      <c r="B25" s="69" t="s">
        <v>19</v>
      </c>
      <c r="C25" s="176" t="s">
        <v>140</v>
      </c>
      <c r="D25" s="176"/>
      <c r="E25" s="68"/>
      <c r="F25" s="174" t="s">
        <v>10</v>
      </c>
      <c r="G25" s="174"/>
      <c r="H25" s="172" t="s">
        <v>151</v>
      </c>
      <c r="I25" s="172"/>
    </row>
    <row r="26" spans="1:9" ht="15.75">
      <c r="A26" s="2"/>
      <c r="B26" s="69" t="s">
        <v>18</v>
      </c>
      <c r="C26" s="71"/>
      <c r="D26" s="72"/>
      <c r="E26" s="68"/>
      <c r="F26" s="174" t="s">
        <v>11</v>
      </c>
      <c r="G26" s="174"/>
      <c r="H26" s="172">
        <v>3</v>
      </c>
      <c r="I26" s="172"/>
    </row>
    <row r="27" spans="1:9" ht="15.75">
      <c r="A27" s="2"/>
      <c r="B27" s="73"/>
      <c r="C27" s="73"/>
      <c r="D27" s="73"/>
      <c r="E27" s="68"/>
      <c r="F27" s="68"/>
      <c r="G27" s="69"/>
      <c r="H27" s="5"/>
      <c r="I27" s="5"/>
    </row>
    <row r="28" spans="1:9" ht="15.75">
      <c r="A28" s="2"/>
      <c r="B28" s="68"/>
      <c r="C28" s="68"/>
      <c r="D28" s="68"/>
      <c r="E28" s="68"/>
      <c r="F28" s="68"/>
      <c r="G28" s="69"/>
      <c r="H28" s="5"/>
      <c r="I28" s="5"/>
    </row>
    <row r="29" spans="1:9" ht="15.75">
      <c r="A29" s="2"/>
      <c r="B29" s="173" t="s">
        <v>68</v>
      </c>
      <c r="C29" s="173"/>
      <c r="D29" s="173"/>
      <c r="E29" s="74"/>
      <c r="F29" s="74" t="s">
        <v>14</v>
      </c>
      <c r="G29" s="69"/>
      <c r="H29" s="5"/>
      <c r="I29" s="5"/>
    </row>
    <row r="30" spans="1:9" ht="15.75">
      <c r="A30" s="2"/>
      <c r="B30" s="174"/>
      <c r="C30" s="174"/>
      <c r="D30" s="174"/>
      <c r="E30" s="69"/>
      <c r="F30" s="75"/>
      <c r="G30" s="69"/>
      <c r="H30" s="5"/>
      <c r="I30" s="5"/>
    </row>
    <row r="31" spans="1:9" ht="15.75">
      <c r="A31" s="2"/>
      <c r="B31" s="174" t="s">
        <v>69</v>
      </c>
      <c r="C31" s="174"/>
      <c r="D31" s="174"/>
      <c r="E31" s="69"/>
      <c r="F31" s="76">
        <v>1</v>
      </c>
      <c r="G31" s="69"/>
      <c r="H31" s="5"/>
      <c r="I31" s="5"/>
    </row>
    <row r="32" spans="1:9" ht="15.75">
      <c r="A32" s="2"/>
      <c r="B32" s="174" t="s">
        <v>12</v>
      </c>
      <c r="C32" s="174"/>
      <c r="D32" s="174"/>
      <c r="E32" s="69"/>
      <c r="F32" s="77" t="s">
        <v>113</v>
      </c>
      <c r="G32" s="69"/>
      <c r="H32" s="5"/>
      <c r="I32" s="5"/>
    </row>
    <row r="33" spans="1:9" ht="18.75">
      <c r="A33" s="2"/>
      <c r="B33" s="174" t="s">
        <v>70</v>
      </c>
      <c r="C33" s="174"/>
      <c r="D33" s="174"/>
      <c r="E33" s="69"/>
      <c r="F33" s="77">
        <v>0.4</v>
      </c>
      <c r="G33" s="69"/>
      <c r="H33" s="5"/>
      <c r="I33" s="5"/>
    </row>
    <row r="34" spans="1:9" ht="16.5" customHeight="1">
      <c r="A34" s="2"/>
      <c r="B34" s="78" t="s">
        <v>71</v>
      </c>
      <c r="C34" s="78"/>
      <c r="D34" s="78"/>
      <c r="E34" s="78"/>
      <c r="F34" s="77">
        <v>18</v>
      </c>
      <c r="G34" s="69"/>
      <c r="H34" s="5"/>
      <c r="I34" s="5"/>
    </row>
    <row r="35" spans="1:9" ht="15.75">
      <c r="A35" s="2"/>
      <c r="B35" s="174" t="s">
        <v>72</v>
      </c>
      <c r="C35" s="174"/>
      <c r="D35" s="174"/>
      <c r="E35" s="79"/>
      <c r="F35" s="80">
        <v>1000000</v>
      </c>
      <c r="G35" s="69"/>
      <c r="H35" s="5"/>
      <c r="I35" s="5"/>
    </row>
    <row r="36" spans="1:9" ht="15.75">
      <c r="A36" s="2"/>
      <c r="B36" s="174" t="s">
        <v>73</v>
      </c>
      <c r="C36" s="174"/>
      <c r="D36" s="174"/>
      <c r="E36" s="79"/>
      <c r="F36" s="77">
        <v>2</v>
      </c>
      <c r="G36" s="69"/>
      <c r="H36" s="5"/>
      <c r="I36" s="5"/>
    </row>
    <row r="37" spans="1:9" ht="15.75">
      <c r="A37" s="2"/>
      <c r="B37" s="174" t="s">
        <v>74</v>
      </c>
      <c r="C37" s="174"/>
      <c r="D37" s="174"/>
      <c r="E37" s="81"/>
      <c r="F37" s="82">
        <v>0.001</v>
      </c>
      <c r="G37" s="69"/>
      <c r="H37" s="5"/>
      <c r="I37" s="5"/>
    </row>
    <row r="38" spans="1:9" ht="15.75">
      <c r="A38" s="2"/>
      <c r="B38" s="83" t="s">
        <v>76</v>
      </c>
      <c r="C38" s="74"/>
      <c r="D38" s="74"/>
      <c r="E38" s="79"/>
      <c r="F38" s="84">
        <v>0.0002</v>
      </c>
      <c r="G38" s="69"/>
      <c r="H38" s="5"/>
      <c r="I38" s="5"/>
    </row>
    <row r="39" spans="1:9" ht="18.75">
      <c r="A39" s="2"/>
      <c r="B39" s="69" t="s">
        <v>115</v>
      </c>
      <c r="C39" s="69"/>
      <c r="D39" s="69"/>
      <c r="E39" s="69"/>
      <c r="F39" s="77">
        <v>5.8</v>
      </c>
      <c r="G39" s="69"/>
      <c r="H39" s="5"/>
      <c r="I39" s="5"/>
    </row>
    <row r="40" spans="1:9" ht="18.75">
      <c r="A40" s="2"/>
      <c r="B40" s="69" t="s">
        <v>114</v>
      </c>
      <c r="C40" s="69"/>
      <c r="D40" s="69"/>
      <c r="E40" s="69"/>
      <c r="F40" s="77">
        <v>5.5</v>
      </c>
      <c r="G40" s="69"/>
      <c r="H40" s="5"/>
      <c r="I40" s="5"/>
    </row>
    <row r="41" spans="1:9" ht="18.75">
      <c r="A41" s="2"/>
      <c r="B41" s="69" t="s">
        <v>79</v>
      </c>
      <c r="C41" s="69"/>
      <c r="D41" s="69"/>
      <c r="E41" s="69"/>
      <c r="F41" s="77">
        <v>11.3</v>
      </c>
      <c r="G41" s="69"/>
      <c r="H41" s="5"/>
      <c r="I41" s="5"/>
    </row>
    <row r="42" spans="1:9" ht="19.5" customHeight="1">
      <c r="A42" s="2"/>
      <c r="B42" s="69" t="s">
        <v>81</v>
      </c>
      <c r="C42" s="69"/>
      <c r="D42" s="69"/>
      <c r="E42" s="69"/>
      <c r="F42" s="77">
        <v>9</v>
      </c>
      <c r="G42" s="69"/>
      <c r="H42" s="5"/>
      <c r="I42" s="5"/>
    </row>
    <row r="43" spans="1:9" ht="18.75" customHeight="1">
      <c r="A43" s="2"/>
      <c r="B43" s="69" t="s">
        <v>139</v>
      </c>
      <c r="C43" s="69"/>
      <c r="D43" s="69"/>
      <c r="E43" s="69"/>
      <c r="F43" s="77">
        <v>0.33</v>
      </c>
      <c r="G43" s="69"/>
      <c r="H43" s="5"/>
      <c r="I43" s="5"/>
    </row>
    <row r="44" spans="2:9" ht="15.75">
      <c r="B44" s="69"/>
      <c r="C44" s="69"/>
      <c r="D44" s="69"/>
      <c r="E44" s="69"/>
      <c r="F44" s="69"/>
      <c r="G44" s="69"/>
      <c r="H44" s="69"/>
      <c r="I44" s="69"/>
    </row>
    <row r="45" spans="2:9" ht="24.75" customHeight="1">
      <c r="B45" s="85"/>
      <c r="C45" s="85"/>
      <c r="D45" s="85"/>
      <c r="E45" s="85"/>
      <c r="F45" s="86" t="s">
        <v>135</v>
      </c>
      <c r="G45" s="87"/>
      <c r="H45" s="87" t="s">
        <v>83</v>
      </c>
      <c r="I45" s="69"/>
    </row>
    <row r="46" spans="2:9" ht="18.75">
      <c r="B46" s="85"/>
      <c r="C46" s="85"/>
      <c r="D46" s="85"/>
      <c r="E46" s="85"/>
      <c r="F46" s="87" t="s">
        <v>136</v>
      </c>
      <c r="G46" s="88"/>
      <c r="H46" s="87" t="s">
        <v>132</v>
      </c>
      <c r="I46" s="69"/>
    </row>
    <row r="47" spans="2:9" ht="15.75">
      <c r="B47" s="89" t="s">
        <v>88</v>
      </c>
      <c r="C47" s="89"/>
      <c r="D47" s="89"/>
      <c r="E47" s="89"/>
      <c r="F47" s="45"/>
      <c r="G47" s="89"/>
      <c r="H47" s="48">
        <v>0.37559554854730304</v>
      </c>
      <c r="I47" s="69"/>
    </row>
    <row r="48" spans="2:9" ht="15.75">
      <c r="B48" s="89" t="s">
        <v>85</v>
      </c>
      <c r="C48" s="89"/>
      <c r="D48" s="89"/>
      <c r="E48" s="89"/>
      <c r="F48" s="90">
        <v>11.723483971155742</v>
      </c>
      <c r="G48" s="89"/>
      <c r="H48" s="45"/>
      <c r="I48" s="69"/>
    </row>
    <row r="49" spans="2:9" ht="15.75">
      <c r="B49" s="69"/>
      <c r="C49" s="69"/>
      <c r="D49" s="69"/>
      <c r="E49" s="69"/>
      <c r="F49" s="69"/>
      <c r="G49" s="69"/>
      <c r="H49" s="69"/>
      <c r="I49" s="69"/>
    </row>
    <row r="50" spans="2:9" ht="15.75">
      <c r="B50" s="69"/>
      <c r="C50" s="69"/>
      <c r="D50" s="69"/>
      <c r="E50" s="69"/>
      <c r="F50" s="69"/>
      <c r="G50" s="69"/>
      <c r="H50" s="69"/>
      <c r="I50" s="69"/>
    </row>
    <row r="51" spans="2:9" ht="15.75">
      <c r="B51" s="69"/>
      <c r="C51" s="69"/>
      <c r="D51" s="69"/>
      <c r="E51" s="69"/>
      <c r="F51" s="69"/>
      <c r="G51" s="69"/>
      <c r="H51" s="69"/>
      <c r="I51" s="69"/>
    </row>
    <row r="52" spans="2:9" ht="15.75">
      <c r="B52" s="69"/>
      <c r="C52" s="69"/>
      <c r="D52" s="69"/>
      <c r="E52" s="69"/>
      <c r="F52" s="69"/>
      <c r="G52" s="69"/>
      <c r="H52" s="69"/>
      <c r="I52" s="69"/>
    </row>
    <row r="53" spans="2:9" ht="15.75">
      <c r="B53" s="69"/>
      <c r="C53" s="69"/>
      <c r="D53" s="69"/>
      <c r="E53" s="69"/>
      <c r="F53" s="69"/>
      <c r="G53" s="69"/>
      <c r="H53" s="69"/>
      <c r="I53" s="69"/>
    </row>
    <row r="54" spans="2:9" ht="15.75">
      <c r="B54" s="69"/>
      <c r="C54" s="69"/>
      <c r="D54" s="69"/>
      <c r="E54" s="69"/>
      <c r="F54" s="69"/>
      <c r="G54" s="69"/>
      <c r="H54" s="69"/>
      <c r="I54" s="69"/>
    </row>
    <row r="55" spans="2:9" ht="15.75">
      <c r="B55" s="69"/>
      <c r="C55" s="69"/>
      <c r="D55" s="69"/>
      <c r="E55" s="69"/>
      <c r="F55" s="69"/>
      <c r="G55" s="69"/>
      <c r="H55" s="69"/>
      <c r="I55" s="69"/>
    </row>
    <row r="56" spans="2:9" ht="15.75">
      <c r="B56" s="69"/>
      <c r="C56" s="69"/>
      <c r="D56" s="69"/>
      <c r="E56" s="69"/>
      <c r="F56" s="69"/>
      <c r="G56" s="69"/>
      <c r="H56" s="69"/>
      <c r="I56" s="69"/>
    </row>
    <row r="57" spans="2:9" ht="15.75">
      <c r="B57" s="69"/>
      <c r="C57" s="69"/>
      <c r="D57" s="69"/>
      <c r="E57" s="69"/>
      <c r="F57" s="69"/>
      <c r="G57" s="69"/>
      <c r="H57" s="69"/>
      <c r="I57" s="69"/>
    </row>
    <row r="58" spans="2:9" ht="15.75">
      <c r="B58" s="69"/>
      <c r="C58" s="69"/>
      <c r="D58" s="69"/>
      <c r="E58" s="69"/>
      <c r="F58" s="69"/>
      <c r="G58" s="69"/>
      <c r="H58" s="69"/>
      <c r="I58" s="69"/>
    </row>
  </sheetData>
  <sheetProtection password="CC3B" sheet="1" objects="1" scenarios="1"/>
  <mergeCells count="17">
    <mergeCell ref="B2:G2"/>
    <mergeCell ref="B22:G22"/>
    <mergeCell ref="C24:D24"/>
    <mergeCell ref="H24:I24"/>
    <mergeCell ref="C25:D25"/>
    <mergeCell ref="F25:G25"/>
    <mergeCell ref="H25:I25"/>
    <mergeCell ref="F26:G26"/>
    <mergeCell ref="H26:I26"/>
    <mergeCell ref="B29:D29"/>
    <mergeCell ref="B30:D30"/>
    <mergeCell ref="B35:D35"/>
    <mergeCell ref="B36:D36"/>
    <mergeCell ref="B37:D37"/>
    <mergeCell ref="B31:D31"/>
    <mergeCell ref="B32:D32"/>
    <mergeCell ref="B33:D33"/>
  </mergeCells>
  <printOptions/>
  <pageMargins left="0.75" right="0.75" top="1" bottom="1" header="0" footer="0"/>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Hoja4"/>
  <dimension ref="A1:BN60"/>
  <sheetViews>
    <sheetView showGridLines="0" showRowColHeaders="0" zoomScaleSheetLayoutView="100" workbookViewId="0" topLeftCell="A19">
      <selection activeCell="F37" sqref="F37"/>
    </sheetView>
  </sheetViews>
  <sheetFormatPr defaultColWidth="11.00390625" defaultRowHeight="15.75"/>
  <cols>
    <col min="1" max="1" width="7.125" style="2" customWidth="1"/>
    <col min="4" max="4" width="13.875" style="0" customWidth="1"/>
    <col min="5" max="5" width="4.25390625" style="0" customWidth="1"/>
    <col min="6" max="6" width="10.875" style="0" customWidth="1"/>
    <col min="7" max="7" width="16.875" style="0" customWidth="1"/>
    <col min="8" max="8" width="9.75390625" style="0" customWidth="1"/>
    <col min="9" max="9" width="8.375" style="0" customWidth="1"/>
    <col min="10" max="10" width="8.00390625" style="0" hidden="1" customWidth="1"/>
    <col min="11" max="11" width="5.625" style="5" hidden="1" customWidth="1"/>
    <col min="12" max="12" width="9.125" style="5" hidden="1" customWidth="1"/>
    <col min="13" max="15" width="5.625" style="5" hidden="1" customWidth="1"/>
    <col min="16" max="16" width="7.375" style="5" hidden="1" customWidth="1"/>
    <col min="17" max="30" width="5.625" style="5" hidden="1" customWidth="1"/>
    <col min="31" max="31" width="5.00390625" style="5" hidden="1" customWidth="1"/>
    <col min="32" max="32" width="5.625" style="5" hidden="1" customWidth="1"/>
    <col min="33" max="33" width="7.25390625" style="5" hidden="1" customWidth="1"/>
    <col min="34" max="34" width="7.00390625" style="5" hidden="1" customWidth="1"/>
    <col min="35" max="35" width="6.25390625" style="5" hidden="1" customWidth="1"/>
    <col min="36" max="36" width="6.625" style="5" hidden="1" customWidth="1"/>
    <col min="37" max="37" width="6.50390625" style="5" hidden="1" customWidth="1"/>
    <col min="38" max="38" width="6.375" style="5" hidden="1" customWidth="1"/>
    <col min="39" max="39" width="7.125" style="5" hidden="1" customWidth="1"/>
    <col min="40" max="40" width="5.625" style="5" hidden="1" customWidth="1"/>
    <col min="41" max="41" width="6.125" style="5" hidden="1" customWidth="1"/>
    <col min="42" max="42" width="6.25390625" style="5" hidden="1" customWidth="1"/>
    <col min="43" max="43" width="6.75390625" style="5" hidden="1" customWidth="1"/>
    <col min="44" max="44" width="6.375" style="5" hidden="1" customWidth="1"/>
    <col min="45" max="45" width="6.75390625" style="5" hidden="1" customWidth="1"/>
    <col min="46" max="46" width="3.75390625" style="5" hidden="1" customWidth="1"/>
    <col min="47" max="47" width="6.125" style="5" hidden="1" customWidth="1"/>
    <col min="48" max="48" width="6.50390625" style="5" hidden="1" customWidth="1"/>
    <col min="49" max="49" width="6.375" style="5" hidden="1" customWidth="1"/>
    <col min="50" max="50" width="6.375" style="0" hidden="1" customWidth="1"/>
    <col min="51" max="51" width="9.50390625" style="0" hidden="1" customWidth="1"/>
    <col min="52" max="52" width="5.25390625" style="0" hidden="1" customWidth="1"/>
    <col min="53" max="53" width="7.375" style="0" hidden="1" customWidth="1"/>
    <col min="54" max="54" width="5.875" style="0" hidden="1" customWidth="1"/>
    <col min="55" max="55" width="6.375" style="0" hidden="1" customWidth="1"/>
    <col min="56" max="56" width="6.875" style="0" hidden="1" customWidth="1"/>
    <col min="57" max="57" width="7.625" style="0" hidden="1" customWidth="1"/>
    <col min="58" max="58" width="4.625" style="0" hidden="1" customWidth="1"/>
    <col min="59" max="59" width="7.75390625" style="0" hidden="1" customWidth="1"/>
    <col min="60" max="60" width="5.00390625" style="0" hidden="1" customWidth="1"/>
    <col min="61" max="61" width="7.25390625" style="0" hidden="1" customWidth="1"/>
    <col min="62" max="62" width="7.125" style="0" hidden="1" customWidth="1"/>
    <col min="63" max="63" width="7.625" style="0" hidden="1" customWidth="1"/>
    <col min="64" max="64" width="6.625" style="0" hidden="1" customWidth="1"/>
    <col min="65" max="65" width="6.25390625" style="0" hidden="1" customWidth="1"/>
    <col min="66" max="66" width="6.75390625" style="0" hidden="1" customWidth="1"/>
    <col min="67" max="67" width="0.12890625" style="0" hidden="1" customWidth="1"/>
    <col min="68" max="100" width="0" style="0" hidden="1" customWidth="1"/>
  </cols>
  <sheetData>
    <row r="1" spans="8:30" ht="21.75" customHeight="1">
      <c r="H1" s="5"/>
      <c r="I1" s="5"/>
      <c r="K1" s="8"/>
      <c r="L1" s="8" t="s">
        <v>123</v>
      </c>
      <c r="M1" s="8"/>
      <c r="N1" s="8"/>
      <c r="O1" s="8"/>
      <c r="P1" s="8"/>
      <c r="Q1" s="8"/>
      <c r="R1" s="8"/>
      <c r="S1" s="8"/>
      <c r="T1" s="8"/>
      <c r="U1" s="8"/>
      <c r="V1" s="8"/>
      <c r="W1" s="8"/>
      <c r="X1" s="8"/>
      <c r="Y1" s="8"/>
      <c r="Z1" s="8"/>
      <c r="AA1" s="8"/>
      <c r="AB1" s="8"/>
      <c r="AC1" s="8"/>
      <c r="AD1" s="8"/>
    </row>
    <row r="2" spans="2:36" ht="15.75">
      <c r="B2" s="165" t="s">
        <v>13</v>
      </c>
      <c r="C2" s="165"/>
      <c r="D2" s="165"/>
      <c r="E2" s="165"/>
      <c r="F2" s="165"/>
      <c r="G2" s="165"/>
      <c r="H2" s="5"/>
      <c r="I2" s="5"/>
      <c r="K2" s="8" t="s">
        <v>16</v>
      </c>
      <c r="L2" s="8"/>
      <c r="M2" s="8">
        <v>1</v>
      </c>
      <c r="N2" s="8">
        <v>2</v>
      </c>
      <c r="O2" s="8">
        <v>3</v>
      </c>
      <c r="P2" s="8">
        <v>4</v>
      </c>
      <c r="Q2" s="8">
        <v>5</v>
      </c>
      <c r="R2" s="8">
        <v>6</v>
      </c>
      <c r="S2" s="8">
        <v>7</v>
      </c>
      <c r="T2" s="8">
        <v>8</v>
      </c>
      <c r="U2" s="8">
        <v>9</v>
      </c>
      <c r="V2" s="8">
        <v>10</v>
      </c>
      <c r="W2" s="8">
        <v>11</v>
      </c>
      <c r="X2" s="8">
        <v>12</v>
      </c>
      <c r="Y2" s="8">
        <v>13</v>
      </c>
      <c r="Z2" s="8">
        <v>14</v>
      </c>
      <c r="AA2" s="8">
        <v>15</v>
      </c>
      <c r="AB2" s="8">
        <v>16</v>
      </c>
      <c r="AC2" s="8">
        <v>17</v>
      </c>
      <c r="AD2" s="8">
        <v>18</v>
      </c>
      <c r="AH2" s="5" t="s">
        <v>97</v>
      </c>
      <c r="AI2" s="5" t="s">
        <v>98</v>
      </c>
      <c r="AJ2" s="5" t="s">
        <v>95</v>
      </c>
    </row>
    <row r="3" spans="2:35" ht="15.75">
      <c r="B3" s="16"/>
      <c r="C3" s="16"/>
      <c r="D3" s="16"/>
      <c r="E3" s="16"/>
      <c r="F3" s="16"/>
      <c r="H3" s="7"/>
      <c r="I3" s="7"/>
      <c r="K3" s="8">
        <v>1</v>
      </c>
      <c r="L3" s="9" t="s">
        <v>94</v>
      </c>
      <c r="M3" s="9">
        <v>1</v>
      </c>
      <c r="N3" s="9">
        <v>2</v>
      </c>
      <c r="O3" s="9">
        <v>3</v>
      </c>
      <c r="P3" s="9">
        <v>4</v>
      </c>
      <c r="Q3" s="9">
        <v>5</v>
      </c>
      <c r="R3" s="9">
        <v>6</v>
      </c>
      <c r="S3" s="9">
        <v>7</v>
      </c>
      <c r="T3" s="9">
        <v>8</v>
      </c>
      <c r="U3" s="9">
        <v>9</v>
      </c>
      <c r="V3" s="9">
        <v>10</v>
      </c>
      <c r="W3" s="9">
        <v>14</v>
      </c>
      <c r="X3" s="9">
        <v>18</v>
      </c>
      <c r="Y3" s="9">
        <v>20</v>
      </c>
      <c r="Z3" s="9">
        <v>23</v>
      </c>
      <c r="AA3" s="6">
        <v>25</v>
      </c>
      <c r="AB3" s="9">
        <v>30</v>
      </c>
      <c r="AC3" s="9">
        <v>40</v>
      </c>
      <c r="AD3" s="9">
        <v>50</v>
      </c>
      <c r="AG3" s="5" t="s">
        <v>16</v>
      </c>
      <c r="AH3" s="5">
        <f>LOOKUP(F14,M3:AD3,M2:AD2)</f>
        <v>12</v>
      </c>
      <c r="AI3" s="5">
        <f>AH3+1</f>
        <v>13</v>
      </c>
    </row>
    <row r="4" spans="2:35" ht="15.75">
      <c r="B4" t="s">
        <v>17</v>
      </c>
      <c r="C4" s="166"/>
      <c r="D4" s="166"/>
      <c r="E4" s="16"/>
      <c r="F4" s="12" t="s">
        <v>9</v>
      </c>
      <c r="G4" s="12"/>
      <c r="H4" s="162"/>
      <c r="I4" s="162"/>
      <c r="K4" s="8">
        <v>2</v>
      </c>
      <c r="L4" s="10" t="s">
        <v>93</v>
      </c>
      <c r="M4" s="9">
        <v>13.9</v>
      </c>
      <c r="N4" s="9">
        <v>18.8</v>
      </c>
      <c r="O4" s="6">
        <v>22.6</v>
      </c>
      <c r="P4" s="9">
        <v>26.95</v>
      </c>
      <c r="Q4" s="9">
        <v>30</v>
      </c>
      <c r="R4" s="9">
        <v>32.6</v>
      </c>
      <c r="S4" s="9">
        <v>34.6</v>
      </c>
      <c r="T4" s="9">
        <v>36.1</v>
      </c>
      <c r="U4" s="9">
        <v>37.8</v>
      </c>
      <c r="V4" s="9">
        <v>39</v>
      </c>
      <c r="W4" s="9">
        <v>42</v>
      </c>
      <c r="X4" s="9">
        <v>44.35</v>
      </c>
      <c r="Y4" s="9">
        <v>45.2</v>
      </c>
      <c r="Z4" s="9">
        <v>46.3</v>
      </c>
      <c r="AA4" s="9">
        <v>46.7</v>
      </c>
      <c r="AB4" s="9">
        <v>47.8</v>
      </c>
      <c r="AC4" s="9">
        <v>49.1</v>
      </c>
      <c r="AD4" s="9">
        <v>50</v>
      </c>
      <c r="AG4" s="5" t="s">
        <v>96</v>
      </c>
      <c r="AH4" s="5">
        <f>LOOKUP(AH3,M2:AD2,M3:AD3)</f>
        <v>18</v>
      </c>
      <c r="AI4" s="5">
        <f>LOOKUP(AI3,M2:AD2,M3:AD3)</f>
        <v>20</v>
      </c>
    </row>
    <row r="5" spans="2:36" ht="15.75">
      <c r="B5" t="s">
        <v>19</v>
      </c>
      <c r="C5" s="167"/>
      <c r="D5" s="167"/>
      <c r="E5" s="16"/>
      <c r="F5" s="168" t="s">
        <v>10</v>
      </c>
      <c r="G5" s="168"/>
      <c r="H5" s="169"/>
      <c r="I5" s="169"/>
      <c r="AG5" s="5" t="s">
        <v>99</v>
      </c>
      <c r="AH5" s="5">
        <f>LOOKUP(AH4,M3:AD3,M4:AD4)</f>
        <v>44.35</v>
      </c>
      <c r="AI5" s="5">
        <f>LOOKUP(AI4,M3:AD3,M4:AD4)</f>
        <v>45.2</v>
      </c>
      <c r="AJ5" s="5">
        <f>((AI5-AH5)/(AI4-AH4))*(F14-AH4)+AH5</f>
        <v>44.35</v>
      </c>
    </row>
    <row r="6" spans="2:9" ht="15.75">
      <c r="B6" t="s">
        <v>18</v>
      </c>
      <c r="C6" s="20"/>
      <c r="D6" s="21"/>
      <c r="E6" s="16"/>
      <c r="F6" s="168" t="s">
        <v>11</v>
      </c>
      <c r="G6" s="168"/>
      <c r="H6" s="169"/>
      <c r="I6" s="169"/>
    </row>
    <row r="7" spans="2:29" ht="15.75">
      <c r="B7" s="17"/>
      <c r="C7" s="17"/>
      <c r="D7" s="17"/>
      <c r="E7" s="16"/>
      <c r="F7" s="16"/>
      <c r="H7" s="5"/>
      <c r="I7" s="5"/>
      <c r="L7"/>
      <c r="M7"/>
      <c r="N7"/>
      <c r="O7"/>
      <c r="P7"/>
      <c r="Q7"/>
      <c r="R7"/>
      <c r="S7"/>
      <c r="T7"/>
      <c r="U7"/>
      <c r="V7"/>
      <c r="W7"/>
      <c r="X7"/>
      <c r="Y7"/>
      <c r="Z7"/>
      <c r="AA7"/>
      <c r="AB7"/>
      <c r="AC7"/>
    </row>
    <row r="8" spans="4:30" ht="24.75" customHeight="1">
      <c r="D8" s="51"/>
      <c r="E8" s="51"/>
      <c r="F8" s="16"/>
      <c r="H8" s="5"/>
      <c r="I8" s="5"/>
      <c r="K8" s="8"/>
      <c r="L8" s="8" t="s">
        <v>124</v>
      </c>
      <c r="M8" s="8"/>
      <c r="N8" s="8"/>
      <c r="O8" s="8"/>
      <c r="P8" s="8"/>
      <c r="Q8" s="8"/>
      <c r="R8" s="8"/>
      <c r="S8" s="8"/>
      <c r="T8" s="8"/>
      <c r="U8" s="8"/>
      <c r="V8" s="8"/>
      <c r="W8" s="8"/>
      <c r="X8" s="8"/>
      <c r="Y8" s="8"/>
      <c r="Z8" s="8"/>
      <c r="AA8" s="8"/>
      <c r="AB8" s="8"/>
      <c r="AC8" s="8"/>
      <c r="AD8" s="8"/>
    </row>
    <row r="9" spans="2:48" ht="15.75">
      <c r="B9" s="170" t="s">
        <v>68</v>
      </c>
      <c r="C9" s="170"/>
      <c r="D9" s="170"/>
      <c r="E9" s="11"/>
      <c r="F9" s="11" t="s">
        <v>14</v>
      </c>
      <c r="H9" s="5"/>
      <c r="I9" s="5"/>
      <c r="K9" s="8" t="s">
        <v>16</v>
      </c>
      <c r="L9" s="8"/>
      <c r="M9" s="8">
        <v>1</v>
      </c>
      <c r="N9" s="8">
        <v>2</v>
      </c>
      <c r="O9" s="8">
        <v>3</v>
      </c>
      <c r="P9" s="8">
        <v>4</v>
      </c>
      <c r="Q9" s="8">
        <v>5</v>
      </c>
      <c r="R9" s="8">
        <v>6</v>
      </c>
      <c r="S9" s="8">
        <v>7</v>
      </c>
      <c r="T9" s="8">
        <v>8</v>
      </c>
      <c r="U9" s="8">
        <v>9</v>
      </c>
      <c r="V9" s="8">
        <v>10</v>
      </c>
      <c r="W9" s="8">
        <v>11</v>
      </c>
      <c r="X9" s="8">
        <v>12</v>
      </c>
      <c r="Y9" s="8">
        <v>13</v>
      </c>
      <c r="Z9" s="8">
        <v>14</v>
      </c>
      <c r="AA9" s="8">
        <v>15</v>
      </c>
      <c r="AB9" s="8">
        <v>16</v>
      </c>
      <c r="AC9" s="8">
        <v>17</v>
      </c>
      <c r="AD9" s="8">
        <v>18</v>
      </c>
      <c r="AH9" s="5" t="s">
        <v>97</v>
      </c>
      <c r="AI9" s="5" t="s">
        <v>98</v>
      </c>
      <c r="AJ9" s="5" t="s">
        <v>95</v>
      </c>
      <c r="AK9"/>
      <c r="AL9"/>
      <c r="AM9"/>
      <c r="AN9"/>
      <c r="AO9"/>
      <c r="AP9"/>
      <c r="AQ9"/>
      <c r="AR9"/>
      <c r="AS9"/>
      <c r="AT9"/>
      <c r="AU9"/>
      <c r="AV9"/>
    </row>
    <row r="10" spans="2:48" ht="19.5" customHeight="1">
      <c r="B10" s="168" t="s">
        <v>112</v>
      </c>
      <c r="C10" s="168"/>
      <c r="D10" s="168"/>
      <c r="F10" s="13">
        <v>0.25</v>
      </c>
      <c r="H10" s="5"/>
      <c r="I10" s="5"/>
      <c r="K10" s="8">
        <v>1</v>
      </c>
      <c r="L10" s="9" t="s">
        <v>94</v>
      </c>
      <c r="M10" s="9">
        <v>1</v>
      </c>
      <c r="N10" s="9">
        <v>2</v>
      </c>
      <c r="O10" s="9">
        <v>3</v>
      </c>
      <c r="P10" s="9">
        <v>4</v>
      </c>
      <c r="Q10" s="9">
        <v>5</v>
      </c>
      <c r="R10" s="9">
        <v>6</v>
      </c>
      <c r="S10" s="9">
        <v>7</v>
      </c>
      <c r="T10" s="9">
        <v>8</v>
      </c>
      <c r="U10" s="9">
        <v>9</v>
      </c>
      <c r="V10" s="9">
        <v>10</v>
      </c>
      <c r="W10" s="9">
        <v>14</v>
      </c>
      <c r="X10" s="9">
        <v>18</v>
      </c>
      <c r="Y10" s="9">
        <v>20</v>
      </c>
      <c r="Z10" s="9">
        <v>23</v>
      </c>
      <c r="AA10" s="6">
        <v>25</v>
      </c>
      <c r="AB10" s="9">
        <v>30</v>
      </c>
      <c r="AC10" s="9">
        <v>40</v>
      </c>
      <c r="AD10" s="9">
        <v>50</v>
      </c>
      <c r="AG10" s="5" t="s">
        <v>16</v>
      </c>
      <c r="AH10" s="5">
        <f>LOOKUP(F14,M10:AD10,M9:AD9)</f>
        <v>12</v>
      </c>
      <c r="AI10" s="5">
        <f>IF(AH10=18,18,AH10+1)</f>
        <v>13</v>
      </c>
      <c r="AK10"/>
      <c r="AL10"/>
      <c r="AM10"/>
      <c r="AN10"/>
      <c r="AO10"/>
      <c r="AP10"/>
      <c r="AQ10"/>
      <c r="AR10"/>
      <c r="AS10"/>
      <c r="AT10"/>
      <c r="AU10"/>
      <c r="AV10"/>
    </row>
    <row r="11" spans="2:48" ht="19.5" customHeight="1">
      <c r="B11" s="168" t="s">
        <v>69</v>
      </c>
      <c r="C11" s="168"/>
      <c r="D11" s="168"/>
      <c r="F11" s="14">
        <v>0.0625</v>
      </c>
      <c r="H11" s="5"/>
      <c r="I11" s="5"/>
      <c r="K11" s="8">
        <v>2</v>
      </c>
      <c r="L11" s="10" t="s">
        <v>93</v>
      </c>
      <c r="M11" s="9">
        <v>10</v>
      </c>
      <c r="N11" s="9">
        <v>13.5</v>
      </c>
      <c r="O11" s="6">
        <v>16.3</v>
      </c>
      <c r="P11" s="9">
        <v>19.4</v>
      </c>
      <c r="Q11" s="9">
        <v>21.6</v>
      </c>
      <c r="R11" s="9">
        <v>22.8</v>
      </c>
      <c r="S11" s="9">
        <v>23.75</v>
      </c>
      <c r="T11" s="9">
        <v>25</v>
      </c>
      <c r="U11" s="9">
        <v>25.8</v>
      </c>
      <c r="V11" s="9">
        <v>26.6</v>
      </c>
      <c r="W11" s="9">
        <v>28.6</v>
      </c>
      <c r="X11" s="9">
        <v>29.3</v>
      </c>
      <c r="Y11" s="9">
        <v>29.7</v>
      </c>
      <c r="Z11" s="9">
        <v>30</v>
      </c>
      <c r="AA11" s="9">
        <v>30.1</v>
      </c>
      <c r="AB11" s="9">
        <v>30.4</v>
      </c>
      <c r="AC11" s="9">
        <v>30.4</v>
      </c>
      <c r="AD11" s="9">
        <v>30.3</v>
      </c>
      <c r="AG11" s="5" t="s">
        <v>96</v>
      </c>
      <c r="AH11" s="5">
        <f>LOOKUP(AH10,M9:AD9,M10:AD10)</f>
        <v>18</v>
      </c>
      <c r="AI11" s="5">
        <f>LOOKUP(AI10,M9:AD9,M10:AD10)</f>
        <v>20</v>
      </c>
      <c r="AK11"/>
      <c r="AL11"/>
      <c r="AM11"/>
      <c r="AN11"/>
      <c r="AO11"/>
      <c r="AP11"/>
      <c r="AQ11"/>
      <c r="AR11"/>
      <c r="AS11"/>
      <c r="AT11"/>
      <c r="AU11"/>
      <c r="AV11"/>
    </row>
    <row r="12" spans="2:48" ht="19.5" customHeight="1">
      <c r="B12" s="168" t="s">
        <v>12</v>
      </c>
      <c r="C12" s="168"/>
      <c r="D12" s="168"/>
      <c r="F12" s="14" t="s">
        <v>142</v>
      </c>
      <c r="H12" s="5"/>
      <c r="I12" s="5"/>
      <c r="AG12" s="5" t="s">
        <v>99</v>
      </c>
      <c r="AH12" s="5">
        <f>LOOKUP(AH11,M10:AD10,M11:AD11)</f>
        <v>29.3</v>
      </c>
      <c r="AI12" s="5">
        <f>LOOKUP(AI11,M10:AD10,M11:AD11)</f>
        <v>29.7</v>
      </c>
      <c r="AJ12" s="5">
        <f>((AI12-AH12)/(AI11-AH11))*(F14-AH11)+AH12</f>
        <v>29.3</v>
      </c>
      <c r="AK12"/>
      <c r="AL12"/>
      <c r="AM12"/>
      <c r="AN12"/>
      <c r="AO12"/>
      <c r="AP12"/>
      <c r="AQ12"/>
      <c r="AR12"/>
      <c r="AS12"/>
      <c r="AT12"/>
      <c r="AU12"/>
      <c r="AV12"/>
    </row>
    <row r="13" spans="2:48" ht="19.5" customHeight="1">
      <c r="B13" s="168" t="s">
        <v>70</v>
      </c>
      <c r="C13" s="168"/>
      <c r="D13" s="168"/>
      <c r="F13" s="14">
        <v>0.02</v>
      </c>
      <c r="H13" s="5"/>
      <c r="I13" s="5"/>
      <c r="K13"/>
      <c r="L13"/>
      <c r="M13"/>
      <c r="N13"/>
      <c r="O13"/>
      <c r="P13"/>
      <c r="Q13"/>
      <c r="R13"/>
      <c r="S13"/>
      <c r="T13"/>
      <c r="U13"/>
      <c r="V13"/>
      <c r="W13"/>
      <c r="X13"/>
      <c r="Y13"/>
      <c r="Z13"/>
      <c r="AA13"/>
      <c r="AB13"/>
      <c r="AC13"/>
      <c r="AI13"/>
      <c r="AJ13"/>
      <c r="AK13"/>
      <c r="AL13"/>
      <c r="AM13"/>
      <c r="AN13"/>
      <c r="AO13"/>
      <c r="AP13"/>
      <c r="AQ13"/>
      <c r="AR13"/>
      <c r="AS13"/>
      <c r="AT13"/>
      <c r="AU13"/>
      <c r="AV13"/>
    </row>
    <row r="14" spans="2:48" ht="19.5" customHeight="1">
      <c r="B14" s="28" t="s">
        <v>71</v>
      </c>
      <c r="C14" s="28"/>
      <c r="D14" s="28"/>
      <c r="E14" s="28"/>
      <c r="F14" s="14">
        <v>18</v>
      </c>
      <c r="H14" s="5"/>
      <c r="I14" s="5"/>
      <c r="K14"/>
      <c r="L14"/>
      <c r="M14"/>
      <c r="N14"/>
      <c r="O14"/>
      <c r="P14"/>
      <c r="Q14"/>
      <c r="R14"/>
      <c r="S14"/>
      <c r="T14"/>
      <c r="U14"/>
      <c r="V14"/>
      <c r="W14"/>
      <c r="X14"/>
      <c r="Y14"/>
      <c r="Z14"/>
      <c r="AA14"/>
      <c r="AB14"/>
      <c r="AC14"/>
      <c r="AI14"/>
      <c r="AJ14"/>
      <c r="AK14"/>
      <c r="AL14"/>
      <c r="AM14"/>
      <c r="AN14"/>
      <c r="AO14"/>
      <c r="AP14"/>
      <c r="AQ14"/>
      <c r="AR14"/>
      <c r="AS14"/>
      <c r="AT14"/>
      <c r="AU14"/>
      <c r="AV14"/>
    </row>
    <row r="15" spans="2:48" ht="19.5" customHeight="1">
      <c r="B15" s="171" t="s">
        <v>111</v>
      </c>
      <c r="C15" s="171"/>
      <c r="D15" s="171"/>
      <c r="E15" s="3"/>
      <c r="F15" s="14">
        <v>21</v>
      </c>
      <c r="H15" s="5"/>
      <c r="I15" s="5"/>
      <c r="K15" s="8"/>
      <c r="L15" s="8" t="s">
        <v>125</v>
      </c>
      <c r="M15" s="8"/>
      <c r="N15" s="8"/>
      <c r="O15" s="8"/>
      <c r="P15" s="8"/>
      <c r="Q15" s="8"/>
      <c r="R15" s="8"/>
      <c r="S15" s="8"/>
      <c r="T15" s="8"/>
      <c r="U15" s="8"/>
      <c r="V15" s="8"/>
      <c r="W15" s="8"/>
      <c r="X15" s="8"/>
      <c r="Y15" s="8"/>
      <c r="Z15" s="8"/>
      <c r="AA15" s="8"/>
      <c r="AB15" s="8"/>
      <c r="AC15" s="8"/>
      <c r="AD15" s="8"/>
      <c r="AK15"/>
      <c r="AL15"/>
      <c r="AM15"/>
      <c r="AN15"/>
      <c r="AO15"/>
      <c r="AP15"/>
      <c r="AQ15"/>
      <c r="AR15"/>
      <c r="AS15"/>
      <c r="AT15"/>
      <c r="AU15"/>
      <c r="AV15"/>
    </row>
    <row r="16" spans="2:48" ht="19.5" customHeight="1">
      <c r="B16" s="168" t="s">
        <v>72</v>
      </c>
      <c r="C16" s="168"/>
      <c r="D16" s="168"/>
      <c r="E16" s="3"/>
      <c r="F16" s="30">
        <v>1000000</v>
      </c>
      <c r="H16" s="5"/>
      <c r="I16" s="5"/>
      <c r="K16" s="8" t="s">
        <v>16</v>
      </c>
      <c r="L16" s="8"/>
      <c r="M16" s="8">
        <v>1</v>
      </c>
      <c r="N16" s="8">
        <v>2</v>
      </c>
      <c r="O16" s="8">
        <v>3</v>
      </c>
      <c r="P16" s="8">
        <v>4</v>
      </c>
      <c r="Q16" s="8">
        <v>5</v>
      </c>
      <c r="R16" s="8">
        <v>6</v>
      </c>
      <c r="S16" s="8">
        <v>7</v>
      </c>
      <c r="T16" s="8">
        <v>8</v>
      </c>
      <c r="U16" s="8">
        <v>9</v>
      </c>
      <c r="V16" s="8">
        <v>10</v>
      </c>
      <c r="W16" s="8">
        <v>11</v>
      </c>
      <c r="X16" s="8">
        <v>12</v>
      </c>
      <c r="Y16" s="8">
        <v>13</v>
      </c>
      <c r="Z16" s="8">
        <v>14</v>
      </c>
      <c r="AA16" s="8">
        <v>15</v>
      </c>
      <c r="AB16" s="8">
        <v>16</v>
      </c>
      <c r="AC16" s="8">
        <v>17</v>
      </c>
      <c r="AD16" s="8">
        <v>18</v>
      </c>
      <c r="AH16" s="5" t="s">
        <v>97</v>
      </c>
      <c r="AI16" s="5" t="s">
        <v>98</v>
      </c>
      <c r="AJ16" s="5" t="s">
        <v>95</v>
      </c>
      <c r="AK16"/>
      <c r="AL16"/>
      <c r="AM16"/>
      <c r="AN16"/>
      <c r="AO16"/>
      <c r="AP16"/>
      <c r="AQ16"/>
      <c r="AR16"/>
      <c r="AS16"/>
      <c r="AT16"/>
      <c r="AU16"/>
      <c r="AV16"/>
    </row>
    <row r="17" spans="2:48" ht="19.5" customHeight="1">
      <c r="B17" s="168" t="s">
        <v>73</v>
      </c>
      <c r="C17" s="168"/>
      <c r="D17" s="168"/>
      <c r="E17" s="3"/>
      <c r="F17" s="53">
        <v>1</v>
      </c>
      <c r="H17" s="5"/>
      <c r="I17" s="5"/>
      <c r="K17" s="8">
        <v>1</v>
      </c>
      <c r="L17" s="9" t="s">
        <v>94</v>
      </c>
      <c r="M17" s="9">
        <v>1</v>
      </c>
      <c r="N17" s="9">
        <v>2</v>
      </c>
      <c r="O17" s="9">
        <v>3</v>
      </c>
      <c r="P17" s="9">
        <v>4</v>
      </c>
      <c r="Q17" s="9">
        <v>5</v>
      </c>
      <c r="R17" s="9">
        <v>6</v>
      </c>
      <c r="S17" s="9">
        <v>7</v>
      </c>
      <c r="T17" s="9">
        <v>8</v>
      </c>
      <c r="U17" s="9">
        <v>9</v>
      </c>
      <c r="V17" s="9">
        <v>10</v>
      </c>
      <c r="W17" s="9">
        <v>14</v>
      </c>
      <c r="X17" s="9">
        <v>18</v>
      </c>
      <c r="Y17" s="9">
        <v>20</v>
      </c>
      <c r="Z17" s="9">
        <v>23</v>
      </c>
      <c r="AA17" s="6">
        <v>25</v>
      </c>
      <c r="AB17" s="9">
        <v>30</v>
      </c>
      <c r="AC17" s="9">
        <v>40</v>
      </c>
      <c r="AD17" s="9">
        <v>50</v>
      </c>
      <c r="AG17" s="5" t="s">
        <v>16</v>
      </c>
      <c r="AH17" s="5">
        <f>LOOKUP(F14,M17:AD17,M16:AD16)</f>
        <v>12</v>
      </c>
      <c r="AI17" s="5">
        <f>IF(AH17=18,18,AH17+1)</f>
        <v>13</v>
      </c>
      <c r="AK17"/>
      <c r="AL17"/>
      <c r="AM17"/>
      <c r="AN17"/>
      <c r="AO17"/>
      <c r="AP17"/>
      <c r="AQ17"/>
      <c r="AR17"/>
      <c r="AS17"/>
      <c r="AT17"/>
      <c r="AU17"/>
      <c r="AV17"/>
    </row>
    <row r="18" spans="2:48" ht="19.5" customHeight="1">
      <c r="B18" s="168" t="s">
        <v>74</v>
      </c>
      <c r="C18" s="168"/>
      <c r="D18" s="168"/>
      <c r="E18" s="15"/>
      <c r="F18" s="56">
        <v>0.001</v>
      </c>
      <c r="H18" s="5"/>
      <c r="I18" s="5"/>
      <c r="K18" s="8">
        <v>2</v>
      </c>
      <c r="L18" s="10" t="s">
        <v>93</v>
      </c>
      <c r="M18" s="9">
        <v>2</v>
      </c>
      <c r="N18" s="9">
        <v>3.7</v>
      </c>
      <c r="O18" s="6">
        <v>4.5</v>
      </c>
      <c r="P18" s="9">
        <v>4.95</v>
      </c>
      <c r="Q18" s="9">
        <v>5.2</v>
      </c>
      <c r="R18" s="9">
        <v>5.3</v>
      </c>
      <c r="S18" s="9">
        <v>5.31</v>
      </c>
      <c r="T18" s="9">
        <v>5.48</v>
      </c>
      <c r="U18" s="9">
        <v>5.5</v>
      </c>
      <c r="V18" s="9">
        <v>5.57</v>
      </c>
      <c r="W18" s="9">
        <v>5.57</v>
      </c>
      <c r="X18" s="9">
        <v>5.5</v>
      </c>
      <c r="Y18" s="9">
        <v>5.48</v>
      </c>
      <c r="Z18" s="9">
        <v>5.48</v>
      </c>
      <c r="AA18" s="9">
        <v>5.31</v>
      </c>
      <c r="AB18" s="9">
        <v>5.3</v>
      </c>
      <c r="AC18" s="9">
        <v>5.2</v>
      </c>
      <c r="AD18" s="9">
        <v>5.1</v>
      </c>
      <c r="AG18" s="5" t="s">
        <v>96</v>
      </c>
      <c r="AH18" s="5">
        <f>LOOKUP(AH17,M16:AD16,M17:AD17)</f>
        <v>18</v>
      </c>
      <c r="AI18" s="5">
        <f>LOOKUP(AI17,M16:AD16,M17:AD17)</f>
        <v>20</v>
      </c>
      <c r="AK18"/>
      <c r="AL18"/>
      <c r="AM18"/>
      <c r="AN18"/>
      <c r="AO18"/>
      <c r="AP18"/>
      <c r="AQ18"/>
      <c r="AR18"/>
      <c r="AS18"/>
      <c r="AT18"/>
      <c r="AU18"/>
      <c r="AV18"/>
    </row>
    <row r="19" spans="2:48" ht="19.5" customHeight="1">
      <c r="B19" s="12" t="s">
        <v>75</v>
      </c>
      <c r="C19" s="3"/>
      <c r="D19" s="3"/>
      <c r="E19" s="3"/>
      <c r="F19" s="57">
        <v>0.05</v>
      </c>
      <c r="H19" s="5"/>
      <c r="I19" s="5"/>
      <c r="AG19" s="5" t="s">
        <v>99</v>
      </c>
      <c r="AH19" s="5">
        <f>LOOKUP(AH18,M17:AD17,M18:AD18)</f>
        <v>5.5</v>
      </c>
      <c r="AI19" s="5">
        <f>LOOKUP(AI18,M17:AD17,M18:AD18)</f>
        <v>5.48</v>
      </c>
      <c r="AJ19" s="5">
        <f>((AI19-AH19)/(AI18-AH18))*(F14-AH18)+AH19</f>
        <v>5.5</v>
      </c>
      <c r="AK19"/>
      <c r="AL19"/>
      <c r="AM19"/>
      <c r="AN19"/>
      <c r="AO19"/>
      <c r="AP19"/>
      <c r="AQ19"/>
      <c r="AR19"/>
      <c r="AS19"/>
      <c r="AT19"/>
      <c r="AU19"/>
      <c r="AV19"/>
    </row>
    <row r="20" spans="2:48" ht="19.5" customHeight="1">
      <c r="B20" s="19" t="s">
        <v>76</v>
      </c>
      <c r="C20" s="11"/>
      <c r="D20" s="11"/>
      <c r="E20" s="3"/>
      <c r="F20" s="55">
        <v>0.0002</v>
      </c>
      <c r="H20" s="5"/>
      <c r="I20" s="5"/>
      <c r="K20"/>
      <c r="L20"/>
      <c r="M20"/>
      <c r="N20"/>
      <c r="O20"/>
      <c r="P20"/>
      <c r="Q20"/>
      <c r="R20"/>
      <c r="S20"/>
      <c r="T20"/>
      <c r="U20"/>
      <c r="V20"/>
      <c r="W20"/>
      <c r="X20"/>
      <c r="Y20"/>
      <c r="Z20"/>
      <c r="AA20"/>
      <c r="AB20"/>
      <c r="AC20"/>
      <c r="AI20"/>
      <c r="AJ20"/>
      <c r="AK20"/>
      <c r="AL20"/>
      <c r="AM20"/>
      <c r="AN20"/>
      <c r="AO20"/>
      <c r="AP20"/>
      <c r="AQ20"/>
      <c r="AR20"/>
      <c r="AS20"/>
      <c r="AT20"/>
      <c r="AU20"/>
      <c r="AV20"/>
    </row>
    <row r="21" spans="2:48" ht="19.5" customHeight="1">
      <c r="B21" s="168" t="s">
        <v>77</v>
      </c>
      <c r="C21" s="168"/>
      <c r="D21" s="168"/>
      <c r="E21" s="3"/>
      <c r="F21" s="13">
        <v>4</v>
      </c>
      <c r="H21" s="5"/>
      <c r="I21" s="5"/>
      <c r="K21"/>
      <c r="L21"/>
      <c r="M21"/>
      <c r="N21"/>
      <c r="O21"/>
      <c r="P21"/>
      <c r="Q21"/>
      <c r="R21"/>
      <c r="S21"/>
      <c r="T21"/>
      <c r="U21"/>
      <c r="V21"/>
      <c r="W21"/>
      <c r="X21"/>
      <c r="Y21"/>
      <c r="Z21"/>
      <c r="AA21"/>
      <c r="AB21"/>
      <c r="AC21"/>
      <c r="AI21"/>
      <c r="AJ21"/>
      <c r="AK21"/>
      <c r="AL21"/>
      <c r="AM21"/>
      <c r="AN21"/>
      <c r="AO21"/>
      <c r="AP21"/>
      <c r="AQ21"/>
      <c r="AR21"/>
      <c r="AS21"/>
      <c r="AT21"/>
      <c r="AU21"/>
      <c r="AV21"/>
    </row>
    <row r="22" spans="2:48" ht="19.5" customHeight="1">
      <c r="B22" s="12" t="s">
        <v>78</v>
      </c>
      <c r="C22" s="3"/>
      <c r="D22" s="3"/>
      <c r="E22" s="3"/>
      <c r="F22" s="14">
        <v>3</v>
      </c>
      <c r="H22" s="5"/>
      <c r="I22" s="5"/>
      <c r="K22" s="61"/>
      <c r="L22" s="61" t="s">
        <v>100</v>
      </c>
      <c r="M22" s="61"/>
      <c r="N22" s="61"/>
      <c r="O22" s="61"/>
      <c r="P22" s="61"/>
      <c r="Q22" s="61"/>
      <c r="R22" s="61"/>
      <c r="S22" s="61"/>
      <c r="T22" s="61"/>
      <c r="U22" s="61"/>
      <c r="V22" s="61"/>
      <c r="W22" s="61"/>
      <c r="X22" s="61"/>
      <c r="Y22" s="61"/>
      <c r="Z22" s="61"/>
      <c r="AA22" s="61"/>
      <c r="AB22" s="8"/>
      <c r="AC22" s="8"/>
      <c r="AD22" s="8"/>
      <c r="AK22"/>
      <c r="AL22"/>
      <c r="AM22"/>
      <c r="AN22"/>
      <c r="AO22"/>
      <c r="AP22"/>
      <c r="AQ22"/>
      <c r="AR22"/>
      <c r="AS22"/>
      <c r="AT22"/>
      <c r="AU22"/>
      <c r="AV22"/>
    </row>
    <row r="23" spans="2:48" ht="19.5" customHeight="1">
      <c r="B23" t="s">
        <v>115</v>
      </c>
      <c r="F23" s="14">
        <v>5</v>
      </c>
      <c r="H23" s="5"/>
      <c r="I23" s="5"/>
      <c r="K23" s="61" t="s">
        <v>16</v>
      </c>
      <c r="L23" s="61"/>
      <c r="M23" s="61">
        <v>1</v>
      </c>
      <c r="N23" s="61">
        <v>2</v>
      </c>
      <c r="O23" s="61">
        <v>3</v>
      </c>
      <c r="P23" s="61">
        <v>4</v>
      </c>
      <c r="Q23" s="61">
        <v>5</v>
      </c>
      <c r="R23" s="61">
        <v>6</v>
      </c>
      <c r="S23" s="61">
        <v>7</v>
      </c>
      <c r="T23" s="61">
        <v>8</v>
      </c>
      <c r="U23" s="61">
        <v>9</v>
      </c>
      <c r="V23" s="61">
        <v>10</v>
      </c>
      <c r="W23" s="61">
        <v>11</v>
      </c>
      <c r="X23" s="61">
        <v>12</v>
      </c>
      <c r="Y23" s="62">
        <v>13</v>
      </c>
      <c r="Z23" s="62">
        <v>14</v>
      </c>
      <c r="AA23" s="62">
        <v>15</v>
      </c>
      <c r="AB23"/>
      <c r="AC23"/>
      <c r="AD23"/>
      <c r="AH23" s="5" t="s">
        <v>102</v>
      </c>
      <c r="AI23" s="5" t="s">
        <v>103</v>
      </c>
      <c r="AJ23" s="5" t="s">
        <v>95</v>
      </c>
      <c r="AK23"/>
      <c r="AL23"/>
      <c r="AM23"/>
      <c r="AN23"/>
      <c r="AO23"/>
      <c r="AP23"/>
      <c r="AQ23"/>
      <c r="AR23"/>
      <c r="AS23"/>
      <c r="AT23"/>
      <c r="AU23"/>
      <c r="AV23"/>
    </row>
    <row r="24" spans="2:48" ht="19.5" customHeight="1">
      <c r="B24" t="s">
        <v>114</v>
      </c>
      <c r="F24" s="14">
        <v>0.6</v>
      </c>
      <c r="H24" s="5"/>
      <c r="I24" s="5"/>
      <c r="K24" s="61"/>
      <c r="L24" s="61"/>
      <c r="M24" s="61"/>
      <c r="N24" s="61"/>
      <c r="O24" s="61"/>
      <c r="P24" s="61"/>
      <c r="Q24" s="61"/>
      <c r="R24" s="61"/>
      <c r="S24" s="61"/>
      <c r="T24" s="61"/>
      <c r="U24" s="61"/>
      <c r="V24" s="61"/>
      <c r="W24" s="61"/>
      <c r="X24" s="61"/>
      <c r="Y24" s="62"/>
      <c r="Z24" s="62"/>
      <c r="AA24" s="62"/>
      <c r="AB24"/>
      <c r="AC24"/>
      <c r="AD24"/>
      <c r="AK24"/>
      <c r="AL24"/>
      <c r="AM24"/>
      <c r="AN24"/>
      <c r="AO24"/>
      <c r="AP24"/>
      <c r="AQ24"/>
      <c r="AR24"/>
      <c r="AS24"/>
      <c r="AT24"/>
      <c r="AU24"/>
      <c r="AV24"/>
    </row>
    <row r="25" spans="2:48" ht="19.5" customHeight="1">
      <c r="B25" s="12" t="s">
        <v>119</v>
      </c>
      <c r="F25" s="14">
        <v>1.6</v>
      </c>
      <c r="H25" s="5"/>
      <c r="I25" s="5"/>
      <c r="K25" s="61">
        <v>1</v>
      </c>
      <c r="L25" s="63" t="s">
        <v>101</v>
      </c>
      <c r="M25" s="63">
        <v>6</v>
      </c>
      <c r="N25" s="63">
        <v>8</v>
      </c>
      <c r="O25" s="63">
        <v>10</v>
      </c>
      <c r="P25" s="63">
        <v>12</v>
      </c>
      <c r="Q25" s="63">
        <v>14</v>
      </c>
      <c r="R25" s="63">
        <v>16</v>
      </c>
      <c r="S25" s="63">
        <v>18</v>
      </c>
      <c r="T25" s="63">
        <v>20</v>
      </c>
      <c r="U25" s="63">
        <v>22</v>
      </c>
      <c r="V25" s="63">
        <v>24</v>
      </c>
      <c r="W25" s="63">
        <v>26</v>
      </c>
      <c r="X25" s="64">
        <v>28</v>
      </c>
      <c r="Y25" s="64">
        <v>30</v>
      </c>
      <c r="Z25" s="64">
        <v>40</v>
      </c>
      <c r="AA25" s="64">
        <v>50</v>
      </c>
      <c r="AB25"/>
      <c r="AC25"/>
      <c r="AD25"/>
      <c r="AG25" s="5" t="s">
        <v>16</v>
      </c>
      <c r="AH25" s="5">
        <f>LOOKUP(F15,M25:AA25,M23:AA23)</f>
        <v>8</v>
      </c>
      <c r="AI25" s="5">
        <f>IF(AH25=15,15,AH25+1)</f>
        <v>9</v>
      </c>
      <c r="AK25"/>
      <c r="AL25"/>
      <c r="AM25"/>
      <c r="AN25"/>
      <c r="AO25"/>
      <c r="AP25"/>
      <c r="AQ25"/>
      <c r="AR25"/>
      <c r="AS25"/>
      <c r="AT25"/>
      <c r="AU25"/>
      <c r="AV25"/>
    </row>
    <row r="26" spans="2:51" ht="19.5" customHeight="1">
      <c r="B26" t="s">
        <v>79</v>
      </c>
      <c r="F26" s="14">
        <v>2</v>
      </c>
      <c r="H26" s="5"/>
      <c r="I26" s="5"/>
      <c r="K26" s="61">
        <v>2</v>
      </c>
      <c r="L26" s="65" t="s">
        <v>100</v>
      </c>
      <c r="M26" s="63">
        <v>0.0011</v>
      </c>
      <c r="N26" s="63">
        <v>0.002</v>
      </c>
      <c r="O26" s="66">
        <v>0.003</v>
      </c>
      <c r="P26" s="63">
        <v>0.004</v>
      </c>
      <c r="Q26" s="63">
        <v>0.0055</v>
      </c>
      <c r="R26" s="63">
        <v>0.007</v>
      </c>
      <c r="S26" s="63">
        <v>0.0086</v>
      </c>
      <c r="T26" s="63">
        <v>0.0105</v>
      </c>
      <c r="U26" s="63">
        <v>0.011</v>
      </c>
      <c r="V26" s="63">
        <v>0.015</v>
      </c>
      <c r="W26" s="63">
        <v>0.017</v>
      </c>
      <c r="X26" s="63">
        <v>0.019</v>
      </c>
      <c r="Y26" s="64">
        <v>0.0205</v>
      </c>
      <c r="Z26" s="64">
        <v>0.032</v>
      </c>
      <c r="AA26" s="64">
        <v>0.044</v>
      </c>
      <c r="AB26"/>
      <c r="AC26"/>
      <c r="AD26"/>
      <c r="AG26" s="5" t="s">
        <v>96</v>
      </c>
      <c r="AH26" s="5">
        <f>LOOKUP(AH25,M23:AA23,M25:AA25)</f>
        <v>20</v>
      </c>
      <c r="AI26" s="5">
        <f>LOOKUP(AI25,M23:AA23,M25:AA25)</f>
        <v>22</v>
      </c>
      <c r="AK26"/>
      <c r="AL26"/>
      <c r="AM26"/>
      <c r="AN26"/>
      <c r="AO26"/>
      <c r="AP26"/>
      <c r="AQ26"/>
      <c r="AR26"/>
      <c r="AS26"/>
      <c r="AT26"/>
      <c r="AU26"/>
      <c r="AV26"/>
      <c r="AY26" s="18"/>
    </row>
    <row r="27" spans="2:48" ht="19.5" customHeight="1">
      <c r="B27" t="s">
        <v>80</v>
      </c>
      <c r="F27" s="14">
        <v>0.16</v>
      </c>
      <c r="H27" s="5"/>
      <c r="I27" s="5"/>
      <c r="AB27"/>
      <c r="AG27" s="5" t="s">
        <v>99</v>
      </c>
      <c r="AH27" s="5">
        <f>LOOKUP(AH26,M25:AA25,M26:AA26)</f>
        <v>0.0105</v>
      </c>
      <c r="AI27" s="5">
        <f>LOOKUP(AI26,M25:AA25,M26:AA26)</f>
        <v>0.011</v>
      </c>
      <c r="AJ27" s="5">
        <f>((AI27-AH27)/(AI26-AH26))*(F15-AH26)+AH27</f>
        <v>0.01075</v>
      </c>
      <c r="AK27"/>
      <c r="AL27"/>
      <c r="AM27"/>
      <c r="AN27"/>
      <c r="AO27"/>
      <c r="AP27"/>
      <c r="AQ27"/>
      <c r="AR27"/>
      <c r="AS27"/>
      <c r="AT27"/>
      <c r="AU27"/>
      <c r="AV27"/>
    </row>
    <row r="28" spans="2:48" ht="19.5" customHeight="1">
      <c r="B28" t="s">
        <v>81</v>
      </c>
      <c r="F28" s="14">
        <v>18</v>
      </c>
      <c r="H28" s="5"/>
      <c r="I28" s="5"/>
      <c r="K28"/>
      <c r="L28"/>
      <c r="M28"/>
      <c r="N28"/>
      <c r="O28"/>
      <c r="P28"/>
      <c r="Q28"/>
      <c r="R28"/>
      <c r="S28"/>
      <c r="T28"/>
      <c r="U28"/>
      <c r="V28"/>
      <c r="W28"/>
      <c r="X28"/>
      <c r="Y28"/>
      <c r="Z28"/>
      <c r="AA28"/>
      <c r="AB28"/>
      <c r="AC28"/>
      <c r="AI28"/>
      <c r="AJ28"/>
      <c r="AK28"/>
      <c r="AL28"/>
      <c r="AM28"/>
      <c r="AN28"/>
      <c r="AO28"/>
      <c r="AP28"/>
      <c r="AQ28"/>
      <c r="AR28"/>
      <c r="AS28"/>
      <c r="AT28"/>
      <c r="AU28"/>
      <c r="AV28"/>
    </row>
    <row r="29" spans="2:48" ht="19.5" customHeight="1">
      <c r="B29" t="s">
        <v>139</v>
      </c>
      <c r="F29" s="14">
        <v>1</v>
      </c>
      <c r="H29" s="5"/>
      <c r="I29" s="5"/>
      <c r="K29"/>
      <c r="L29"/>
      <c r="M29"/>
      <c r="N29"/>
      <c r="O29"/>
      <c r="P29"/>
      <c r="Q29"/>
      <c r="R29"/>
      <c r="S29"/>
      <c r="T29"/>
      <c r="U29"/>
      <c r="V29"/>
      <c r="W29"/>
      <c r="X29"/>
      <c r="Y29"/>
      <c r="Z29"/>
      <c r="AA29"/>
      <c r="AB29"/>
      <c r="AC29"/>
      <c r="AI29"/>
      <c r="AJ29"/>
      <c r="AK29"/>
      <c r="AL29"/>
      <c r="AM29"/>
      <c r="AN29"/>
      <c r="AO29"/>
      <c r="AP29"/>
      <c r="AQ29"/>
      <c r="AR29"/>
      <c r="AS29"/>
      <c r="AT29"/>
      <c r="AU29"/>
      <c r="AV29"/>
    </row>
    <row r="30" spans="8:48" ht="15.75">
      <c r="H30" s="5"/>
      <c r="I30" s="5"/>
      <c r="K30"/>
      <c r="L30"/>
      <c r="M30"/>
      <c r="N30"/>
      <c r="O30"/>
      <c r="P30"/>
      <c r="Q30"/>
      <c r="R30"/>
      <c r="S30"/>
      <c r="T30"/>
      <c r="U30"/>
      <c r="V30"/>
      <c r="W30"/>
      <c r="X30"/>
      <c r="Y30"/>
      <c r="Z30"/>
      <c r="AA30"/>
      <c r="AB30"/>
      <c r="AC30"/>
      <c r="AI30"/>
      <c r="AJ30"/>
      <c r="AK30"/>
      <c r="AL30"/>
      <c r="AM30"/>
      <c r="AN30"/>
      <c r="AO30"/>
      <c r="AP30"/>
      <c r="AQ30"/>
      <c r="AR30"/>
      <c r="AS30"/>
      <c r="AT30"/>
      <c r="AU30"/>
      <c r="AV30"/>
    </row>
    <row r="31" spans="2:48" ht="13.5" customHeight="1">
      <c r="B31" s="36"/>
      <c r="C31" s="36"/>
      <c r="D31" s="36"/>
      <c r="E31" s="36"/>
      <c r="F31" s="37" t="s">
        <v>82</v>
      </c>
      <c r="G31" s="38" t="s">
        <v>84</v>
      </c>
      <c r="H31" s="38" t="s">
        <v>83</v>
      </c>
      <c r="K31"/>
      <c r="L31"/>
      <c r="M31"/>
      <c r="N31"/>
      <c r="O31"/>
      <c r="P31"/>
      <c r="Q31"/>
      <c r="R31"/>
      <c r="S31"/>
      <c r="T31"/>
      <c r="U31" t="s">
        <v>127</v>
      </c>
      <c r="V31" t="s">
        <v>99</v>
      </c>
      <c r="W31"/>
      <c r="X31"/>
      <c r="Y31"/>
      <c r="Z31"/>
      <c r="AA31"/>
      <c r="AB31"/>
      <c r="AC31"/>
      <c r="AI31"/>
      <c r="AJ31"/>
      <c r="AK31"/>
      <c r="AL31"/>
      <c r="AM31"/>
      <c r="AN31"/>
      <c r="AO31"/>
      <c r="AP31"/>
      <c r="AQ31"/>
      <c r="AR31"/>
      <c r="AS31"/>
      <c r="AT31"/>
      <c r="AU31"/>
      <c r="AV31"/>
    </row>
    <row r="32" spans="2:52" ht="15.75" customHeight="1">
      <c r="B32" s="36"/>
      <c r="C32" s="36"/>
      <c r="D32" s="36"/>
      <c r="E32" s="36"/>
      <c r="F32" s="37" t="s">
        <v>130</v>
      </c>
      <c r="G32" s="38" t="s">
        <v>131</v>
      </c>
      <c r="H32" s="38" t="s">
        <v>132</v>
      </c>
      <c r="K32"/>
      <c r="L32"/>
      <c r="M32"/>
      <c r="N32"/>
      <c r="O32"/>
      <c r="P32"/>
      <c r="Q32"/>
      <c r="R32"/>
      <c r="S32"/>
      <c r="T32"/>
      <c r="U32" t="s">
        <v>126</v>
      </c>
      <c r="V32"/>
      <c r="W32"/>
      <c r="X32"/>
      <c r="Y32"/>
      <c r="Z32"/>
      <c r="AA32"/>
      <c r="AB32"/>
      <c r="AC32"/>
      <c r="AI32"/>
      <c r="AJ32" t="s">
        <v>128</v>
      </c>
      <c r="AK32"/>
      <c r="AL32"/>
      <c r="AM32"/>
      <c r="AN32"/>
      <c r="AO32"/>
      <c r="AP32"/>
      <c r="AQ32"/>
      <c r="AR32"/>
      <c r="AS32"/>
      <c r="AT32"/>
      <c r="AU32"/>
      <c r="AV32"/>
      <c r="AZ32" t="s">
        <v>129</v>
      </c>
    </row>
    <row r="33" spans="2:66" ht="15.75">
      <c r="B33" s="39" t="s">
        <v>86</v>
      </c>
      <c r="C33" s="39"/>
      <c r="D33" s="39"/>
      <c r="E33" s="39"/>
      <c r="F33" s="42">
        <f>IF(($AJ$5*LOG10($F$16*$F$10*$F$11*$P33*$F$17/$F$13))&lt;0,0,$AJ$5*LOG10($F$16*$F$10*$F$11*$P33*$F$17/$F$13))</f>
        <v>207.94251661532678</v>
      </c>
      <c r="G33" s="42">
        <f>IF(($AJ$12*LOG10($F$16*$F$10*$F$11*$P$33*$F$17/$F$13))&lt;0,0,$AJ$12*LOG10($F$16*$F$10*$F$11*$P$33*$F$17/$F$13))</f>
        <v>137.37803239749888</v>
      </c>
      <c r="H33" s="49">
        <f>IF(($AJ$19*LOG10($F$16*$F$10*$F$11*$P$33*$F$17/$F$13))&lt;0,0,($AJ$19*LOG10($F$16*$F$10*$F$11*$P$33*$F$17/$F$13)))</f>
        <v>25.787685262329138</v>
      </c>
      <c r="I33" s="5"/>
      <c r="K33"/>
      <c r="L33" t="s">
        <v>105</v>
      </c>
      <c r="M33"/>
      <c r="N33"/>
      <c r="O33"/>
      <c r="P33" s="46">
        <f>1/(F21*F21)</f>
        <v>0.0625</v>
      </c>
      <c r="Q33"/>
      <c r="R33"/>
      <c r="S33" s="32">
        <f aca="true" t="shared" si="0" ref="S33:S39">ROUND(F33,0)</f>
        <v>208</v>
      </c>
      <c r="T33" s="33">
        <f>AJ5</f>
        <v>44.35</v>
      </c>
      <c r="U33" s="32">
        <f>SMALL($S$33:$S$39,1)</f>
        <v>29</v>
      </c>
      <c r="V33" s="32">
        <f aca="true" t="shared" si="1" ref="V33:V39">VLOOKUP(U33,$S$33:$T$39,2,FALSE)</f>
        <v>16</v>
      </c>
      <c r="W33" s="32"/>
      <c r="X33"/>
      <c r="Y33"/>
      <c r="Z33"/>
      <c r="AA33"/>
      <c r="AB33"/>
      <c r="AC33"/>
      <c r="AI33"/>
      <c r="AJ33" s="32">
        <f aca="true" t="shared" si="2" ref="AJ33:AJ39">G33</f>
        <v>137.37803239749888</v>
      </c>
      <c r="AK33">
        <f>AJ12</f>
        <v>29.3</v>
      </c>
      <c r="AL33" s="32">
        <f>SMALL(AJ33:AJ39,1)</f>
        <v>16.301157954779605</v>
      </c>
      <c r="AM33" s="32">
        <f aca="true" t="shared" si="3" ref="AM33:AM39">VLOOKUP(AL33,$AJ$33:$AK$39,2,FALSE)</f>
        <v>9</v>
      </c>
      <c r="AN33" s="32"/>
      <c r="AO33"/>
      <c r="AP33"/>
      <c r="AQ33"/>
      <c r="AR33"/>
      <c r="AS33"/>
      <c r="AT33"/>
      <c r="AX33" s="5"/>
      <c r="AZ33" s="32">
        <f aca="true" t="shared" si="4" ref="AZ33:AZ39">H33</f>
        <v>25.787685262329138</v>
      </c>
      <c r="BA33">
        <f>AJ19</f>
        <v>5.5</v>
      </c>
      <c r="BB33" s="32">
        <f>SMALL(AZ33:AZ39,1)</f>
        <v>2.716859659129934</v>
      </c>
      <c r="BC33" s="32">
        <f aca="true" t="shared" si="5" ref="BC33:BC39">VLOOKUP(BB33,$AZ$33:$BA$39,2,FALSE)</f>
        <v>1.5</v>
      </c>
      <c r="BD33" s="32"/>
      <c r="BK33" s="5"/>
      <c r="BL33" s="5"/>
      <c r="BM33" s="5"/>
      <c r="BN33" s="5"/>
    </row>
    <row r="34" spans="2:66" ht="15.75">
      <c r="B34" s="39" t="s">
        <v>87</v>
      </c>
      <c r="C34" s="39"/>
      <c r="D34" s="39"/>
      <c r="E34" s="39"/>
      <c r="F34" s="42">
        <f>IF((16*LOG10($F$16*F11*$P34*$F$17/$F$13))&lt;0,0,16*LOG10($F$16*F11*$P34*$F$17/$F$13))</f>
        <v>43.915639918347104</v>
      </c>
      <c r="G34" s="42">
        <f>IF((9*LOG10($F$16*F11*$P34*$F$17/$F$13))&lt;0,0,9*LOG10($F$16*F11*$P34*$F$17/$F$13))</f>
        <v>24.702547454070245</v>
      </c>
      <c r="H34" s="49">
        <f>IF((1.5*LOG10($F$16*F11*$P34*$F$17/$F$13))&lt;0,0,1.5*LOG10($F$16*F11*$P34*$F$17/$F$13))</f>
        <v>4.117091242345041</v>
      </c>
      <c r="I34" s="5"/>
      <c r="K34"/>
      <c r="L34" t="s">
        <v>106</v>
      </c>
      <c r="M34"/>
      <c r="N34"/>
      <c r="O34"/>
      <c r="P34">
        <f>F27/(100*F22^2)</f>
        <v>0.00017777777777777779</v>
      </c>
      <c r="Q34"/>
      <c r="R34"/>
      <c r="S34" s="32">
        <f t="shared" si="0"/>
        <v>44</v>
      </c>
      <c r="T34" s="33">
        <v>16</v>
      </c>
      <c r="U34" s="32">
        <f>SMALL($S$33:$S$39,2)</f>
        <v>32</v>
      </c>
      <c r="V34" s="32">
        <f t="shared" si="1"/>
        <v>13</v>
      </c>
      <c r="W34" s="34">
        <f>IF(U33=0,U34,IF(U34-U33&gt;V33,U34,IF(U34-U33&lt;0.3*V33,U34+0.3*V33,IF(U34-U33&lt;0.6*V33,U34+0.2*V33,U34+0.1*V33))))</f>
        <v>36.8</v>
      </c>
      <c r="X34" s="32">
        <f aca="true" t="shared" si="6" ref="X34:X39">V34</f>
        <v>13</v>
      </c>
      <c r="Y34"/>
      <c r="Z34"/>
      <c r="AA34"/>
      <c r="AB34"/>
      <c r="AC34"/>
      <c r="AI34"/>
      <c r="AJ34" s="32">
        <f t="shared" si="2"/>
        <v>24.702547454070245</v>
      </c>
      <c r="AK34">
        <v>9</v>
      </c>
      <c r="AL34" s="32">
        <f>SMALL(AJ33:AJ39,2)</f>
        <v>24.702547454070245</v>
      </c>
      <c r="AM34" s="32">
        <f t="shared" si="3"/>
        <v>9</v>
      </c>
      <c r="AN34" s="34">
        <f>IF(AL33=0,AL34,IF(AL34-AL33&gt;AM33,AL34,IF(AL34-AL33&lt;0.3*AM33,AL34+0.3*AM33,IF(AL34-AL33&lt;0.6*AM33,AL34+0.2*AM33,AL34+0.1*AM33))))</f>
        <v>25.602547454070244</v>
      </c>
      <c r="AO34" s="32">
        <f aca="true" t="shared" si="7" ref="AO34:AO39">AM34</f>
        <v>9</v>
      </c>
      <c r="AP34"/>
      <c r="AQ34"/>
      <c r="AR34"/>
      <c r="AS34"/>
      <c r="AT34"/>
      <c r="AX34" s="5"/>
      <c r="AZ34" s="32">
        <f t="shared" si="4"/>
        <v>4.117091242345041</v>
      </c>
      <c r="BA34">
        <v>1.5</v>
      </c>
      <c r="BB34" s="32">
        <f>SMALL(AZ33:AZ39,2)</f>
        <v>4.117091242345041</v>
      </c>
      <c r="BC34" s="32">
        <f t="shared" si="5"/>
        <v>1.5</v>
      </c>
      <c r="BD34" s="34">
        <f>IF(BB33=0,BB34,IF(BB34-BB33&gt;BC33,BB34,IF(BB34-BB33&lt;0.3*BC33,BB34+0.3*BC33,IF(BB34-BB33&lt;0.6*BC33,BB34+0.2*BC33,BB34+0.1*BC33))))</f>
        <v>4.267091242345042</v>
      </c>
      <c r="BE34" s="32">
        <f aca="true" t="shared" si="8" ref="BE34:BE39">BC34</f>
        <v>1.5</v>
      </c>
      <c r="BK34" s="5"/>
      <c r="BL34" s="5"/>
      <c r="BM34" s="5"/>
      <c r="BN34" s="5"/>
    </row>
    <row r="35" spans="2:66" ht="15.75">
      <c r="B35" s="39" t="s">
        <v>88</v>
      </c>
      <c r="C35" s="39"/>
      <c r="D35" s="39"/>
      <c r="E35" s="39"/>
      <c r="F35" s="42">
        <f>IF(F23="",0,IF((16*LOG10($F$16*F11*$P35*$F$17/$F$13))&lt;0,0,16*LOG10($F$16*F11*$P35*$F$17/$F$13)))</f>
        <v>28.97983636405263</v>
      </c>
      <c r="G35" s="42">
        <f>IF(F23="",0,IF((9*LOG10($F$16*F11*$P35*$F$17/$F$13))&lt;0,0,9*LOG10($F$16*F11*$P35*$F$17/$F$13)))</f>
        <v>16.301157954779605</v>
      </c>
      <c r="H35" s="49">
        <f>IF(F23="",0,IF((1.5*LOG10($F$16*F11*$P35*$F$17/$F$13))&lt;0,0,1.5*LOG10($F$16*F11*$P35*$F$17/$F$13)))</f>
        <v>2.716859659129934</v>
      </c>
      <c r="I35" s="5"/>
      <c r="K35"/>
      <c r="L35" t="s">
        <v>107</v>
      </c>
      <c r="M35"/>
      <c r="N35"/>
      <c r="O35"/>
      <c r="P35">
        <f>(0.000001+0.01*(F18/F24^2))*(F28/F23^2)</f>
        <v>2.072E-05</v>
      </c>
      <c r="Q35"/>
      <c r="R35"/>
      <c r="S35" s="32">
        <f t="shared" si="0"/>
        <v>29</v>
      </c>
      <c r="T35" s="33">
        <v>16</v>
      </c>
      <c r="U35" s="32">
        <f>SMALL($S$33:$S$39,3)</f>
        <v>44</v>
      </c>
      <c r="V35" s="32">
        <f t="shared" si="1"/>
        <v>16</v>
      </c>
      <c r="W35" s="32">
        <f>U35</f>
        <v>44</v>
      </c>
      <c r="X35" s="32">
        <f t="shared" si="6"/>
        <v>16</v>
      </c>
      <c r="Y35" s="34">
        <f>IF(W34=0,W35,IF(W35-W34&gt;X34,W35,IF(W35-W34&lt;0.3*X34,W35+0.3*X34,IF(W35-W34&lt;0.6*X34,W35+0.2*X34,W35+0.1*X34))))</f>
        <v>46.6</v>
      </c>
      <c r="Z35" s="32">
        <f>X35</f>
        <v>16</v>
      </c>
      <c r="AA35"/>
      <c r="AB35"/>
      <c r="AC35"/>
      <c r="AI35"/>
      <c r="AJ35" s="32">
        <f t="shared" si="2"/>
        <v>16.301157954779605</v>
      </c>
      <c r="AK35">
        <v>9</v>
      </c>
      <c r="AL35" s="32">
        <f>SMALL(AJ33:AJ39,3)</f>
        <v>32.433050281841226</v>
      </c>
      <c r="AM35" s="32">
        <f t="shared" si="3"/>
        <v>13</v>
      </c>
      <c r="AN35" s="32">
        <f>AL35</f>
        <v>32.433050281841226</v>
      </c>
      <c r="AO35" s="32">
        <f t="shared" si="7"/>
        <v>13</v>
      </c>
      <c r="AP35" s="34">
        <f>IF(AN34=0,AN35,IF(AN35-AN34&gt;AO34,AN35,IF(AN35-AN34&lt;0.3*AO34,AN35+0.3*AO34,IF(AN35-AN34&lt;0.6*AO34,AN35+0.2*AO34,AN35+0.1*AO34))))</f>
        <v>33.333050281841224</v>
      </c>
      <c r="AQ35" s="32">
        <f>AO35</f>
        <v>13</v>
      </c>
      <c r="AR35"/>
      <c r="AS35"/>
      <c r="AT35"/>
      <c r="AX35" s="5"/>
      <c r="AZ35" s="32">
        <f t="shared" si="4"/>
        <v>2.716859659129934</v>
      </c>
      <c r="BA35">
        <v>1.5</v>
      </c>
      <c r="BB35" s="32">
        <f>SMALL(AZ33:AZ39,3)</f>
        <v>16.976355310025344</v>
      </c>
      <c r="BC35" s="32">
        <f t="shared" si="5"/>
        <v>5.5</v>
      </c>
      <c r="BD35" s="32">
        <f>BB35</f>
        <v>16.976355310025344</v>
      </c>
      <c r="BE35" s="32">
        <f t="shared" si="8"/>
        <v>5.5</v>
      </c>
      <c r="BF35" s="34">
        <f>IF(BD34=0,BD35,IF(BD35-BD34&gt;BE34,BD35,IF(BD35-BD34&lt;0.3*BE34,BD35+0.3*BE34,IF(BD35-BD34&lt;0.6*BE34,BD35+0.2*BE34,BD35+0.1*BE34))))</f>
        <v>16.976355310025344</v>
      </c>
      <c r="BG35" s="32">
        <f>BE35</f>
        <v>5.5</v>
      </c>
      <c r="BK35" s="5"/>
      <c r="BL35" s="5"/>
      <c r="BM35" s="5"/>
      <c r="BN35" s="5"/>
    </row>
    <row r="36" spans="2:66" ht="15.75">
      <c r="B36" s="39" t="s">
        <v>90</v>
      </c>
      <c r="C36" s="39"/>
      <c r="D36" s="39"/>
      <c r="E36" s="39"/>
      <c r="F36" s="42">
        <f>IF(($AJ$5*LOG10($F$16*F11*$P36*$F$17/$F$13))&lt;0,0,$AJ$5*LOG10($F$16*F11*$P36*$F$17/$F$13))</f>
        <v>136.89115599993164</v>
      </c>
      <c r="G36" s="42">
        <f>IF(($AJ$12*LOG10($F$16*F11*$P$36*$F$17/$F$13))&lt;0,0,$AJ$12*LOG10($F$16*F11*$P$36*$F$17/$F$13))</f>
        <v>90.43767465158956</v>
      </c>
      <c r="H36" s="49">
        <f>IF(($AJ$19*LOG10($F$16*F11*$P$36*$F$17/$F$13))&lt;0,0,$AJ$19*LOG10($F$16*F11*$P$36*$F$17/$F$13))</f>
        <v>16.976355310025344</v>
      </c>
      <c r="I36" s="5"/>
      <c r="K36"/>
      <c r="L36" t="s">
        <v>108</v>
      </c>
      <c r="M36"/>
      <c r="N36"/>
      <c r="O36"/>
      <c r="P36">
        <f>F18/(F25)^2</f>
        <v>0.0003906249999999999</v>
      </c>
      <c r="Q36"/>
      <c r="R36"/>
      <c r="S36" s="32">
        <f t="shared" si="0"/>
        <v>137</v>
      </c>
      <c r="T36" s="33">
        <f>T33</f>
        <v>44.35</v>
      </c>
      <c r="U36" s="32">
        <f>SMALL($S$33:$S$39,4)</f>
        <v>66</v>
      </c>
      <c r="V36" s="32">
        <f t="shared" si="1"/>
        <v>16</v>
      </c>
      <c r="W36" s="32">
        <f>U36</f>
        <v>66</v>
      </c>
      <c r="X36" s="32">
        <f t="shared" si="6"/>
        <v>16</v>
      </c>
      <c r="Y36" s="32">
        <f>W36</f>
        <v>66</v>
      </c>
      <c r="Z36" s="32">
        <f>X36</f>
        <v>16</v>
      </c>
      <c r="AA36" s="34">
        <f>IF(Y35=0,Y36,IF(Y36-Y35&gt;Z35,Y36,IF(Y36-Y35&lt;0.3*Z35,Y36+0.3*Z35,IF(Y36-Y35&lt;0.6*Z35,Y36+0.2*Z35,Y36+0.1*Z35))))</f>
        <v>66</v>
      </c>
      <c r="AB36" s="32">
        <f>Z36</f>
        <v>16</v>
      </c>
      <c r="AC36"/>
      <c r="AI36"/>
      <c r="AJ36" s="32">
        <f t="shared" si="2"/>
        <v>90.43767465158956</v>
      </c>
      <c r="AK36">
        <f>AK33</f>
        <v>29.3</v>
      </c>
      <c r="AL36" s="32">
        <f>SMALL(AJ33:AJ39,4)</f>
        <v>66.4681605550104</v>
      </c>
      <c r="AM36" s="32">
        <f t="shared" si="3"/>
        <v>16</v>
      </c>
      <c r="AN36" s="32">
        <f>AL36</f>
        <v>66.4681605550104</v>
      </c>
      <c r="AO36" s="32">
        <f t="shared" si="7"/>
        <v>16</v>
      </c>
      <c r="AP36" s="32">
        <f>AN36</f>
        <v>66.4681605550104</v>
      </c>
      <c r="AQ36" s="32">
        <f>AO36</f>
        <v>16</v>
      </c>
      <c r="AR36" s="34">
        <f>IF(AP35=0,AP36,IF(AP36-AP35&gt;AQ35,AP36,IF(AP36-AP35&lt;0.3*AQ35,AP36+0.3*AQ35,IF(AP36-AP35&lt;0.6*AQ35,AP36+0.2*AQ35,AP36+0.1*AQ35))))</f>
        <v>66.4681605550104</v>
      </c>
      <c r="AS36" s="32">
        <f>AQ36</f>
        <v>16</v>
      </c>
      <c r="AT36"/>
      <c r="AX36" s="5"/>
      <c r="AZ36" s="32">
        <f t="shared" si="4"/>
        <v>16.976355310025344</v>
      </c>
      <c r="BA36">
        <f>BA33</f>
        <v>5.5</v>
      </c>
      <c r="BB36" s="32">
        <f>SMALL(AZ33:AZ39,4)</f>
        <v>19.097189814816062</v>
      </c>
      <c r="BC36" s="32">
        <f t="shared" si="5"/>
        <v>5.5</v>
      </c>
      <c r="BD36" s="32">
        <f>BB36</f>
        <v>19.097189814816062</v>
      </c>
      <c r="BE36" s="32">
        <f t="shared" si="8"/>
        <v>5.5</v>
      </c>
      <c r="BF36" s="32">
        <f>BD36</f>
        <v>19.097189814816062</v>
      </c>
      <c r="BG36" s="32">
        <f>BE36</f>
        <v>5.5</v>
      </c>
      <c r="BH36" s="34">
        <f>IF(BF35=0,BF36,IF(BF36-BF35&gt;BG35,BF36,IF(BF36-BF35&lt;0.3*BG35,BF36+0.3*BG35,IF(BF36-BF35&lt;0.6*BG35,BF36+0.2*BG35,BF36+0.1*BG35))))</f>
        <v>20.197189814816063</v>
      </c>
      <c r="BI36" s="32">
        <f>BG36</f>
        <v>5.5</v>
      </c>
      <c r="BK36" s="5"/>
      <c r="BL36" s="5"/>
      <c r="BM36" s="5"/>
      <c r="BN36" s="5"/>
    </row>
    <row r="37" spans="2:66" ht="15.75">
      <c r="B37" s="39" t="s">
        <v>89</v>
      </c>
      <c r="C37" s="39"/>
      <c r="D37" s="39"/>
      <c r="E37" s="39"/>
      <c r="F37" s="42">
        <f>IF((IF(MAX(F14:F15)&lt;8,0,(25+16*(LOG10($F$16*$F$11*$F$17*$P$37*10/$F$13)-1))))&lt;0,0,IF(MAX(F14:F15)&lt;8,0,(25+16*(LOG10($F$16*$F$11*$F$17*$P$37*10/$F$13)-1))))</f>
        <v>66.4681605550104</v>
      </c>
      <c r="G37" s="42">
        <f>IF((IF(MAX(F14:F15)&lt;8,0,(25+16*(LOG10(F16*F11*F17*P37*10/F13)-1))))&lt;0,0,IF(MAX(F14:F15)&lt;8,0,(25+16*(LOG10(F16*F11*F17*P37*10/F13)-1))))</f>
        <v>66.4681605550104</v>
      </c>
      <c r="H37" s="49">
        <f>IF((IF(MAX(F14:F15)&lt;8,0,(42*(LOG10(F16*F11*F17*P37*10/F13)))))&lt;0,0,IF(MAX(F14:F15)&lt;8,0,(42*(LOG10(F16*F11*F17*P37*10/F13)))))</f>
        <v>150.85392145690233</v>
      </c>
      <c r="I37" s="5"/>
      <c r="K37"/>
      <c r="L37" t="s">
        <v>109</v>
      </c>
      <c r="M37"/>
      <c r="N37"/>
      <c r="O37"/>
      <c r="P37" s="31">
        <f>F20/F25</f>
        <v>0.000125</v>
      </c>
      <c r="Q37"/>
      <c r="R37"/>
      <c r="S37" s="32">
        <f t="shared" si="0"/>
        <v>66</v>
      </c>
      <c r="T37" s="33">
        <v>16</v>
      </c>
      <c r="U37" s="32">
        <f>SMALL($S$33:$S$39,5)</f>
        <v>137</v>
      </c>
      <c r="V37" s="32">
        <f t="shared" si="1"/>
        <v>44.35</v>
      </c>
      <c r="W37" s="32">
        <f>U37</f>
        <v>137</v>
      </c>
      <c r="X37" s="32">
        <f t="shared" si="6"/>
        <v>44.35</v>
      </c>
      <c r="Y37" s="32">
        <f>W37</f>
        <v>137</v>
      </c>
      <c r="Z37" s="32">
        <f>X37</f>
        <v>44.35</v>
      </c>
      <c r="AA37" s="32">
        <f>Y37</f>
        <v>137</v>
      </c>
      <c r="AB37" s="32">
        <f>Z37</f>
        <v>44.35</v>
      </c>
      <c r="AC37" s="34">
        <f>IF(AA36=0,AA37,IF(AA37-AA36&gt;AB36,AA37,IF(AA37-AA36&lt;0.3*AB36,AA37+0.3*AB36,IF(AA37-AA36&lt;0.6*AB36,AA37+0.2*AB36,AA37+0.1*AB36))))</f>
        <v>137</v>
      </c>
      <c r="AD37" s="32">
        <f>AB37</f>
        <v>44.35</v>
      </c>
      <c r="AI37"/>
      <c r="AJ37" s="32">
        <f t="shared" si="2"/>
        <v>66.4681605550104</v>
      </c>
      <c r="AK37">
        <v>16</v>
      </c>
      <c r="AL37" s="32">
        <f>SMALL(AJ33:AJ39,5)</f>
        <v>90.43767465158956</v>
      </c>
      <c r="AM37" s="32">
        <f t="shared" si="3"/>
        <v>29.3</v>
      </c>
      <c r="AN37" s="32">
        <f>AL37</f>
        <v>90.43767465158956</v>
      </c>
      <c r="AO37" s="32">
        <f t="shared" si="7"/>
        <v>29.3</v>
      </c>
      <c r="AP37" s="32">
        <f>AN37</f>
        <v>90.43767465158956</v>
      </c>
      <c r="AQ37" s="32">
        <f>AO37</f>
        <v>29.3</v>
      </c>
      <c r="AR37" s="32">
        <f>AP37</f>
        <v>90.43767465158956</v>
      </c>
      <c r="AS37" s="32">
        <f>AQ37</f>
        <v>29.3</v>
      </c>
      <c r="AT37" s="34">
        <f>IF(AR36=0,AR37,IF(AR37-AR36&gt;AS36,AR37,IF(AR37-AR36&lt;0.3*AS36,AR37+0.3*AS36,IF(AR37-AR36&lt;0.6*AS36,AR37+0.2*AS36,AR37+0.1*AS36))))</f>
        <v>90.43767465158956</v>
      </c>
      <c r="AU37" s="32">
        <f>AS37</f>
        <v>29.3</v>
      </c>
      <c r="AX37" s="5"/>
      <c r="AZ37" s="32">
        <f t="shared" si="4"/>
        <v>150.85392145690233</v>
      </c>
      <c r="BA37">
        <v>42</v>
      </c>
      <c r="BB37" s="32">
        <f>SMALL(AZ33:AZ39,5)</f>
        <v>25.787685262329138</v>
      </c>
      <c r="BC37" s="32">
        <f t="shared" si="5"/>
        <v>5.5</v>
      </c>
      <c r="BD37" s="32">
        <f>BB37</f>
        <v>25.787685262329138</v>
      </c>
      <c r="BE37" s="32">
        <f t="shared" si="8"/>
        <v>5.5</v>
      </c>
      <c r="BF37" s="32">
        <f>BD37</f>
        <v>25.787685262329138</v>
      </c>
      <c r="BG37" s="32">
        <f>BE37</f>
        <v>5.5</v>
      </c>
      <c r="BH37" s="32">
        <f>BF37</f>
        <v>25.787685262329138</v>
      </c>
      <c r="BI37" s="32">
        <f>BG37</f>
        <v>5.5</v>
      </c>
      <c r="BJ37" s="34">
        <f>IF(BH36=0,BH37,IF(BH37-BH36&gt;BI36,BH37,IF(BH37-BH36&lt;0.3*BI36,BH37+0.3*BI36,IF(BH37-BH36&lt;0.6*BI36,BH37+0.2*BI36,BH37+0.1*BI36))))</f>
        <v>25.787685262329138</v>
      </c>
      <c r="BK37" s="32">
        <f>BI37</f>
        <v>5.5</v>
      </c>
      <c r="BL37" s="5"/>
      <c r="BM37" s="5"/>
      <c r="BN37" s="5"/>
    </row>
    <row r="38" spans="2:66" ht="15.75">
      <c r="B38" s="39" t="s">
        <v>85</v>
      </c>
      <c r="C38" s="39"/>
      <c r="D38" s="39"/>
      <c r="E38" s="39"/>
      <c r="F38" s="42">
        <f>IF((IF(MAX(F14:F15)&lt;8,0,13*LOG10($F$16*$F$11*$F$17*$P$38*10/$F$13)))&lt;0,0,IF(MAX(F14:F15)&lt;8,0,13*LOG10($F$16*$F$11*$F$17*$P$38*10/$F$13)))</f>
        <v>32.433050281841226</v>
      </c>
      <c r="G38" s="42">
        <f>IF((IF(MAX(F14:F15)&lt;8,0,13*LOG10(F16*F11*F17*P38*10/F13)))&lt;0,0,IF(MAX(F14:F15)&lt;8,0,13*LOG10(F16*F11*F17*P38*10/F13)))</f>
        <v>32.433050281841226</v>
      </c>
      <c r="H38" s="49">
        <f>IF((IF(MAX(F14:F15)&lt;8,0,37*LOG10(F16*F11*F17*P38*10/F13)))&lt;0,0,IF(MAX(F14:F15)&lt;8,0,37*LOG10(F16*F11*F17*P38*10/F13)))</f>
        <v>92.30945080216348</v>
      </c>
      <c r="I38" s="5"/>
      <c r="K38"/>
      <c r="L38" t="s">
        <v>110</v>
      </c>
      <c r="M38"/>
      <c r="N38"/>
      <c r="O38"/>
      <c r="P38">
        <f>0.1*F20*F29/F26</f>
        <v>1E-05</v>
      </c>
      <c r="Q38"/>
      <c r="R38"/>
      <c r="S38" s="32">
        <f t="shared" si="0"/>
        <v>32</v>
      </c>
      <c r="T38" s="33">
        <v>13</v>
      </c>
      <c r="U38" s="32">
        <f>SMALL($S$33:$S$39,6)</f>
        <v>154</v>
      </c>
      <c r="V38" s="32">
        <f t="shared" si="1"/>
        <v>44.35</v>
      </c>
      <c r="W38" s="32">
        <f>U38</f>
        <v>154</v>
      </c>
      <c r="X38" s="32">
        <f t="shared" si="6"/>
        <v>44.35</v>
      </c>
      <c r="Y38" s="32">
        <f>W38</f>
        <v>154</v>
      </c>
      <c r="Z38" s="32">
        <f>X38</f>
        <v>44.35</v>
      </c>
      <c r="AA38" s="32">
        <f>Y38</f>
        <v>154</v>
      </c>
      <c r="AB38" s="32">
        <f>Z38</f>
        <v>44.35</v>
      </c>
      <c r="AC38" s="32">
        <f>AA38</f>
        <v>154</v>
      </c>
      <c r="AD38" s="32">
        <f>AB38</f>
        <v>44.35</v>
      </c>
      <c r="AE38" s="34">
        <f>IF(AC37=0,AC38,IF(AC38-AC37&gt;AD37,AC38,IF(AC38-AC37&lt;0.3*AD37,AC38+0.3*AD37,IF(AC38-AC37&lt;0.6*AD37,AC38+0.2*AD37,AC38+0.1*AD37))))</f>
        <v>162.87</v>
      </c>
      <c r="AF38" s="35">
        <f>AD38</f>
        <v>44.35</v>
      </c>
      <c r="AI38"/>
      <c r="AJ38" s="32">
        <f t="shared" si="2"/>
        <v>32.433050281841226</v>
      </c>
      <c r="AK38">
        <v>13</v>
      </c>
      <c r="AL38" s="32">
        <f>SMALL(AJ33:AJ39,6)</f>
        <v>101.73593846802011</v>
      </c>
      <c r="AM38" s="32">
        <f t="shared" si="3"/>
        <v>29.3</v>
      </c>
      <c r="AN38" s="32">
        <f>AL38</f>
        <v>101.73593846802011</v>
      </c>
      <c r="AO38" s="32">
        <f t="shared" si="7"/>
        <v>29.3</v>
      </c>
      <c r="AP38" s="32">
        <f>AN38</f>
        <v>101.73593846802011</v>
      </c>
      <c r="AQ38" s="32">
        <f>AO38</f>
        <v>29.3</v>
      </c>
      <c r="AR38" s="32">
        <f>AP38</f>
        <v>101.73593846802011</v>
      </c>
      <c r="AS38" s="32">
        <f>AQ38</f>
        <v>29.3</v>
      </c>
      <c r="AT38" s="32">
        <f>AR38</f>
        <v>101.73593846802011</v>
      </c>
      <c r="AU38" s="32">
        <f>AS38</f>
        <v>29.3</v>
      </c>
      <c r="AV38" s="34">
        <f>IF(AT37=0,AT38,IF(AT38-AT37&gt;AU37,AT38,IF(AT38-AT37&lt;0.3*AU37,AT38+0.3*AU37,IF(AT38-AT37&lt;0.6*AU37,AT38+0.2*AU37,AT38+0.1*AU37))))</f>
        <v>107.59593846802011</v>
      </c>
      <c r="AW38" s="35">
        <f>AU38</f>
        <v>29.3</v>
      </c>
      <c r="AX38" s="5"/>
      <c r="AZ38" s="32">
        <f t="shared" si="4"/>
        <v>92.30945080216348</v>
      </c>
      <c r="BA38">
        <v>37</v>
      </c>
      <c r="BB38" s="32">
        <f>SMALL(AZ33:AZ39,6)</f>
        <v>92.30945080216348</v>
      </c>
      <c r="BC38" s="32">
        <f t="shared" si="5"/>
        <v>37</v>
      </c>
      <c r="BD38" s="32">
        <f>BB38</f>
        <v>92.30945080216348</v>
      </c>
      <c r="BE38" s="32">
        <f t="shared" si="8"/>
        <v>37</v>
      </c>
      <c r="BF38" s="32">
        <f>BD38</f>
        <v>92.30945080216348</v>
      </c>
      <c r="BG38" s="32">
        <f>BE38</f>
        <v>37</v>
      </c>
      <c r="BH38" s="32">
        <f>BF38</f>
        <v>92.30945080216348</v>
      </c>
      <c r="BI38" s="32">
        <f>BG38</f>
        <v>37</v>
      </c>
      <c r="BJ38" s="32">
        <f>BH38</f>
        <v>92.30945080216348</v>
      </c>
      <c r="BK38" s="32">
        <f>BI38</f>
        <v>37</v>
      </c>
      <c r="BL38" s="34">
        <f>IF(BJ37=0,BJ38,IF(BJ38-BJ37&gt;BK37,BJ38,IF(BJ38-BJ37&lt;0.3*BK37,BJ38+0.3*BK37,IF(BJ38-BJ37&lt;0.6*BK37,BJ38+0.2*BK37,BJ38+0.1*BK37))))</f>
        <v>92.30945080216348</v>
      </c>
      <c r="BM38" s="35">
        <f>BK38</f>
        <v>37</v>
      </c>
      <c r="BN38" s="5"/>
    </row>
    <row r="39" spans="2:66" ht="15.75">
      <c r="B39" s="39" t="s">
        <v>91</v>
      </c>
      <c r="C39" s="39"/>
      <c r="D39" s="39"/>
      <c r="E39" s="39"/>
      <c r="F39" s="42">
        <f>IF(F15="",0,IF(($AJ$5*LOG10($F$16*$F$10*F11*P39*$F$17/$F$13))&lt;0,0,$AJ$5*LOG10($F$16*$F$10*F11*P39*$F$17/$F$13)))</f>
        <v>153.9927942340168</v>
      </c>
      <c r="G39" s="42">
        <f>IF(F15="",0,IF(($AJ$12*LOG10($F$16*$F$10*F11*P39*$F$17/$F$13))&lt;0,0,$AJ$12*LOG10($F$16*$F$10*F11*P39*$F$17/$F$13)))</f>
        <v>101.73593846802011</v>
      </c>
      <c r="H39" s="49">
        <f>IF(F15="",0,IF(($AJ$19*LOG10($F$16*$F$10*F11*P39*$F$17/$F$13))&lt;0,0,$AJ$19*LOG10($F$16*$F$10*F11*P39*$F$17/$F$13)))</f>
        <v>19.097189814816062</v>
      </c>
      <c r="I39" s="5"/>
      <c r="K39"/>
      <c r="L39" t="s">
        <v>104</v>
      </c>
      <c r="M39"/>
      <c r="N39"/>
      <c r="O39"/>
      <c r="P39">
        <f>IF(F15=0,"",(F19+AJ27)/F21^2)</f>
        <v>0.003796875</v>
      </c>
      <c r="Q39"/>
      <c r="R39"/>
      <c r="S39" s="32">
        <f t="shared" si="0"/>
        <v>154</v>
      </c>
      <c r="T39" s="33">
        <f>T33</f>
        <v>44.35</v>
      </c>
      <c r="U39" s="32">
        <f>SMALL($S$33:$S$39,7)</f>
        <v>208</v>
      </c>
      <c r="V39" s="32">
        <f t="shared" si="1"/>
        <v>44.35</v>
      </c>
      <c r="W39" s="32">
        <f>U39</f>
        <v>208</v>
      </c>
      <c r="X39" s="32">
        <f t="shared" si="6"/>
        <v>44.35</v>
      </c>
      <c r="Y39" s="32">
        <f>W39</f>
        <v>208</v>
      </c>
      <c r="Z39" s="32">
        <f>X39</f>
        <v>44.35</v>
      </c>
      <c r="AA39" s="32">
        <f>Y39</f>
        <v>208</v>
      </c>
      <c r="AB39" s="32">
        <f>Z39</f>
        <v>44.35</v>
      </c>
      <c r="AC39" s="32">
        <f>AA39</f>
        <v>208</v>
      </c>
      <c r="AD39" s="32">
        <f>AB39</f>
        <v>44.35</v>
      </c>
      <c r="AE39" s="35">
        <f>AC39</f>
        <v>208</v>
      </c>
      <c r="AF39" s="35">
        <f>AD39</f>
        <v>44.35</v>
      </c>
      <c r="AG39" s="34">
        <f>IF(AE38=0,AE39,IF(AE39-AE38&gt;AF38,AE39,IF(AE39-AE38&lt;0.3*AF38,AE39+0.3*AF38,IF(AE39-AE38&lt;0.6*AF38,AE39+0.2*AF38,AE39+0.1*AF38))))</f>
        <v>208</v>
      </c>
      <c r="AI39"/>
      <c r="AJ39" s="32">
        <f t="shared" si="2"/>
        <v>101.73593846802011</v>
      </c>
      <c r="AK39">
        <f>AK33</f>
        <v>29.3</v>
      </c>
      <c r="AL39" s="32">
        <f>SMALL(AJ33:AJ39,7)</f>
        <v>137.37803239749888</v>
      </c>
      <c r="AM39" s="32">
        <f t="shared" si="3"/>
        <v>29.3</v>
      </c>
      <c r="AN39" s="32">
        <f>AL39</f>
        <v>137.37803239749888</v>
      </c>
      <c r="AO39" s="32">
        <f t="shared" si="7"/>
        <v>29.3</v>
      </c>
      <c r="AP39" s="32">
        <f>AN39</f>
        <v>137.37803239749888</v>
      </c>
      <c r="AQ39" s="32">
        <f>AO39</f>
        <v>29.3</v>
      </c>
      <c r="AR39" s="32">
        <f>AP39</f>
        <v>137.37803239749888</v>
      </c>
      <c r="AS39" s="32">
        <f>AQ39</f>
        <v>29.3</v>
      </c>
      <c r="AT39" s="32">
        <f>AR39</f>
        <v>137.37803239749888</v>
      </c>
      <c r="AU39" s="32">
        <f>AS39</f>
        <v>29.3</v>
      </c>
      <c r="AV39" s="35">
        <f>AT39</f>
        <v>137.37803239749888</v>
      </c>
      <c r="AW39" s="35">
        <f>AU39</f>
        <v>29.3</v>
      </c>
      <c r="AX39" s="34">
        <f>IF(AV38=0,AV39,IF(AV39-AV38&gt;AW38,AV39,IF(AV39-AV38&lt;0.3*AW38,AV39+0.3*AW38,IF(AV39-AV38&lt;0.6*AW38,AV39+0.2*AW38,AV39+0.1*AW38))))</f>
        <v>137.37803239749888</v>
      </c>
      <c r="AZ39" s="32">
        <f t="shared" si="4"/>
        <v>19.097189814816062</v>
      </c>
      <c r="BA39">
        <f>BA33</f>
        <v>5.5</v>
      </c>
      <c r="BB39" s="32">
        <f>SMALL(AZ33:AZ39,7)</f>
        <v>150.85392145690233</v>
      </c>
      <c r="BC39" s="32">
        <f t="shared" si="5"/>
        <v>42</v>
      </c>
      <c r="BD39" s="32">
        <f>BB39</f>
        <v>150.85392145690233</v>
      </c>
      <c r="BE39" s="32">
        <f t="shared" si="8"/>
        <v>42</v>
      </c>
      <c r="BF39" s="32">
        <f>BD39</f>
        <v>150.85392145690233</v>
      </c>
      <c r="BG39" s="32">
        <f>BE39</f>
        <v>42</v>
      </c>
      <c r="BH39" s="32">
        <f>BF39</f>
        <v>150.85392145690233</v>
      </c>
      <c r="BI39" s="32">
        <f>BG39</f>
        <v>42</v>
      </c>
      <c r="BJ39" s="32">
        <f>BH39</f>
        <v>150.85392145690233</v>
      </c>
      <c r="BK39" s="32">
        <f>BI39</f>
        <v>42</v>
      </c>
      <c r="BL39" s="35">
        <f>BJ39</f>
        <v>150.85392145690233</v>
      </c>
      <c r="BM39" s="35">
        <f>BK39</f>
        <v>42</v>
      </c>
      <c r="BN39" s="34">
        <f>IF(BL38=0,BL39,IF(BL39-BL38&gt;BM38,BL39,IF(BL39-BL38&lt;0.3*BM38,BL39+0.3*BM38,IF(BL39-BL38&lt;0.6*BM38,BL39+0.2*BM38,BL39+0.1*BM38))))</f>
        <v>150.85392145690233</v>
      </c>
    </row>
    <row r="40" spans="2:48" ht="15.75">
      <c r="B40" s="39"/>
      <c r="C40" s="39"/>
      <c r="D40" s="39"/>
      <c r="E40" s="39"/>
      <c r="F40" s="40"/>
      <c r="G40" s="40"/>
      <c r="H40" s="50"/>
      <c r="I40" s="5"/>
      <c r="K40"/>
      <c r="L40"/>
      <c r="M40"/>
      <c r="N40"/>
      <c r="O40"/>
      <c r="P40"/>
      <c r="Q40"/>
      <c r="R40"/>
      <c r="S40"/>
      <c r="T40"/>
      <c r="U40"/>
      <c r="V40"/>
      <c r="W40"/>
      <c r="X40"/>
      <c r="Y40"/>
      <c r="Z40"/>
      <c r="AA40"/>
      <c r="AB40"/>
      <c r="AC40"/>
      <c r="AI40"/>
      <c r="AJ40"/>
      <c r="AK40"/>
      <c r="AL40"/>
      <c r="AM40"/>
      <c r="AN40"/>
      <c r="AO40"/>
      <c r="AP40"/>
      <c r="AQ40"/>
      <c r="AR40"/>
      <c r="AS40"/>
      <c r="AT40"/>
      <c r="AU40"/>
      <c r="AV40"/>
    </row>
    <row r="41" spans="2:48" ht="15.75">
      <c r="B41" s="41" t="s">
        <v>92</v>
      </c>
      <c r="C41" s="41"/>
      <c r="D41" s="41"/>
      <c r="E41" s="39"/>
      <c r="F41" s="43">
        <f>AG39</f>
        <v>208</v>
      </c>
      <c r="G41" s="43">
        <f>AX39</f>
        <v>137.37803239749888</v>
      </c>
      <c r="H41" s="48">
        <f>BN39</f>
        <v>150.85392145690233</v>
      </c>
      <c r="AI41"/>
      <c r="AJ41"/>
      <c r="AK41"/>
      <c r="AL41"/>
      <c r="AM41"/>
      <c r="AN41"/>
      <c r="AO41"/>
      <c r="AP41"/>
      <c r="AQ41"/>
      <c r="AR41"/>
      <c r="AS41"/>
      <c r="AT41"/>
      <c r="AU41"/>
      <c r="AV41"/>
    </row>
    <row r="42" spans="1:49" ht="15.75">
      <c r="A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row>
    <row r="43" spans="1:49" ht="15.75">
      <c r="A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row>
    <row r="44" spans="1:49" ht="15.75">
      <c r="A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row>
    <row r="45" spans="1:49" ht="15.75">
      <c r="A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row>
    <row r="46" spans="1:49" ht="15.75">
      <c r="A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row>
    <row r="47" spans="1:49" ht="15.75">
      <c r="A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row>
    <row r="48" spans="1:49" ht="15.75">
      <c r="A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row>
    <row r="49" spans="1:49" ht="15.75">
      <c r="A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row>
    <row r="50" spans="1:49" ht="15.75">
      <c r="A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row>
    <row r="51" spans="1:49" ht="15.75">
      <c r="A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row>
    <row r="52" spans="1:49" ht="15.75">
      <c r="A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row>
    <row r="53" spans="1:49" ht="15.75">
      <c r="A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row>
    <row r="54" spans="1:49" ht="15.75">
      <c r="A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row>
    <row r="55" spans="1:49" ht="15.75">
      <c r="A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row>
    <row r="56" spans="1:49" ht="15.75">
      <c r="A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row>
    <row r="57" spans="1:49" ht="15.75">
      <c r="A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row>
    <row r="58" spans="1:49" ht="15.75">
      <c r="A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row>
    <row r="59" spans="1:49" ht="15.75">
      <c r="A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row>
    <row r="60" spans="1:49" ht="15.75">
      <c r="A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row>
  </sheetData>
  <sheetProtection password="CC3B" sheet="1" objects="1" scenarios="1"/>
  <mergeCells count="18">
    <mergeCell ref="H4:I4"/>
    <mergeCell ref="H5:I5"/>
    <mergeCell ref="H6:I6"/>
    <mergeCell ref="B13:D13"/>
    <mergeCell ref="F5:G5"/>
    <mergeCell ref="C4:D4"/>
    <mergeCell ref="C5:D5"/>
    <mergeCell ref="F6:G6"/>
    <mergeCell ref="B9:D9"/>
    <mergeCell ref="B21:D21"/>
    <mergeCell ref="B15:D15"/>
    <mergeCell ref="B18:D18"/>
    <mergeCell ref="B16:D16"/>
    <mergeCell ref="B2:G2"/>
    <mergeCell ref="B17:D17"/>
    <mergeCell ref="B10:D10"/>
    <mergeCell ref="B11:D11"/>
    <mergeCell ref="B12:D12"/>
  </mergeCells>
  <printOptions/>
  <pageMargins left="0.36" right="0.25" top="0.25" bottom="1" header="0" footer="0"/>
  <pageSetup horizontalDpi="300" verticalDpi="300" orientation="portrait" r:id="rId3"/>
  <legacyDrawing r:id="rId2"/>
</worksheet>
</file>

<file path=xl/worksheets/sheet6.xml><?xml version="1.0" encoding="utf-8"?>
<worksheet xmlns="http://schemas.openxmlformats.org/spreadsheetml/2006/main" xmlns:r="http://schemas.openxmlformats.org/officeDocument/2006/relationships">
  <sheetPr codeName="Hoja6"/>
  <dimension ref="B1:BN50"/>
  <sheetViews>
    <sheetView showGridLines="0" showRowColHeaders="0" zoomScaleSheetLayoutView="100" workbookViewId="0" topLeftCell="A13">
      <selection activeCell="F34" sqref="F34"/>
    </sheetView>
  </sheetViews>
  <sheetFormatPr defaultColWidth="11.00390625" defaultRowHeight="15.75"/>
  <cols>
    <col min="1" max="1" width="7.125" style="2" customWidth="1"/>
    <col min="4" max="4" width="13.875" style="0" customWidth="1"/>
    <col min="5" max="5" width="4.25390625" style="0" customWidth="1"/>
    <col min="6" max="6" width="10.875" style="0" customWidth="1"/>
    <col min="7" max="7" width="16.875" style="0" customWidth="1"/>
    <col min="8" max="8" width="10.50390625" style="0" customWidth="1"/>
    <col min="9" max="9" width="8.375" style="0" customWidth="1"/>
    <col min="10" max="10" width="5.50390625" style="0" hidden="1" customWidth="1"/>
    <col min="11" max="11" width="5.625" style="5" hidden="1" customWidth="1"/>
    <col min="12" max="12" width="9.125" style="5" hidden="1" customWidth="1"/>
    <col min="13" max="15" width="5.625" style="5" hidden="1" customWidth="1"/>
    <col min="16" max="16" width="6.875" style="5" hidden="1" customWidth="1"/>
    <col min="17" max="30" width="5.625" style="5" hidden="1" customWidth="1"/>
    <col min="31" max="31" width="5.00390625" style="5" hidden="1" customWidth="1"/>
    <col min="32" max="32" width="5.625" style="5" hidden="1" customWidth="1"/>
    <col min="33" max="33" width="7.25390625" style="5" hidden="1" customWidth="1"/>
    <col min="34" max="34" width="7.00390625" style="5" hidden="1" customWidth="1"/>
    <col min="35" max="35" width="6.25390625" style="5" hidden="1" customWidth="1"/>
    <col min="36" max="36" width="6.625" style="5" hidden="1" customWidth="1"/>
    <col min="37" max="37" width="6.50390625" style="5" hidden="1" customWidth="1"/>
    <col min="38" max="38" width="6.375" style="5" hidden="1" customWidth="1"/>
    <col min="39" max="39" width="7.125" style="5" hidden="1" customWidth="1"/>
    <col min="40" max="40" width="5.625" style="5" hidden="1" customWidth="1"/>
    <col min="41" max="41" width="6.125" style="5" hidden="1" customWidth="1"/>
    <col min="42" max="42" width="6.25390625" style="5" hidden="1" customWidth="1"/>
    <col min="43" max="43" width="6.75390625" style="5" hidden="1" customWidth="1"/>
    <col min="44" max="44" width="6.375" style="5" hidden="1" customWidth="1"/>
    <col min="45" max="45" width="6.75390625" style="5" hidden="1" customWidth="1"/>
    <col min="46" max="46" width="3.75390625" style="5" hidden="1" customWidth="1"/>
    <col min="47" max="47" width="6.125" style="5" hidden="1" customWidth="1"/>
    <col min="48" max="48" width="6.50390625" style="5" hidden="1" customWidth="1"/>
    <col min="49" max="49" width="6.375" style="5" hidden="1" customWidth="1"/>
    <col min="50" max="50" width="6.375" style="0" hidden="1" customWidth="1"/>
    <col min="51" max="51" width="9.50390625" style="0" hidden="1" customWidth="1"/>
    <col min="52" max="52" width="5.25390625" style="0" hidden="1" customWidth="1"/>
    <col min="53" max="53" width="7.375" style="0" hidden="1" customWidth="1"/>
    <col min="54" max="54" width="5.875" style="0" hidden="1" customWidth="1"/>
    <col min="55" max="55" width="6.375" style="0" hidden="1" customWidth="1"/>
    <col min="56" max="56" width="6.875" style="0" hidden="1" customWidth="1"/>
    <col min="57" max="57" width="7.625" style="0" hidden="1" customWidth="1"/>
    <col min="58" max="58" width="4.625" style="0" hidden="1" customWidth="1"/>
    <col min="59" max="59" width="7.75390625" style="0" hidden="1" customWidth="1"/>
    <col min="60" max="60" width="5.00390625" style="0" hidden="1" customWidth="1"/>
    <col min="61" max="61" width="7.25390625" style="0" hidden="1" customWidth="1"/>
    <col min="62" max="62" width="7.125" style="0" hidden="1" customWidth="1"/>
    <col min="63" max="63" width="7.625" style="0" hidden="1" customWidth="1"/>
    <col min="64" max="64" width="6.625" style="0" hidden="1" customWidth="1"/>
    <col min="65" max="65" width="6.25390625" style="0" hidden="1" customWidth="1"/>
    <col min="66" max="66" width="6.75390625" style="0" hidden="1" customWidth="1"/>
    <col min="67" max="105" width="0" style="0" hidden="1" customWidth="1"/>
  </cols>
  <sheetData>
    <row r="1" spans="8:30" ht="21.75" customHeight="1">
      <c r="H1" s="5"/>
      <c r="I1" s="5"/>
      <c r="J1" s="5"/>
      <c r="K1" s="8"/>
      <c r="L1" s="8" t="s">
        <v>123</v>
      </c>
      <c r="M1" s="8"/>
      <c r="N1" s="8"/>
      <c r="O1" s="8"/>
      <c r="P1" s="8"/>
      <c r="Q1" s="8"/>
      <c r="R1" s="8"/>
      <c r="S1" s="8"/>
      <c r="T1" s="8"/>
      <c r="U1" s="8"/>
      <c r="V1" s="8"/>
      <c r="W1" s="8"/>
      <c r="X1" s="8"/>
      <c r="Y1" s="8"/>
      <c r="Z1" s="8"/>
      <c r="AA1" s="8"/>
      <c r="AB1" s="8"/>
      <c r="AC1" s="8"/>
      <c r="AD1" s="8"/>
    </row>
    <row r="2" spans="2:36" ht="15.75">
      <c r="B2" s="165" t="s">
        <v>15</v>
      </c>
      <c r="C2" s="165"/>
      <c r="D2" s="165"/>
      <c r="E2" s="165"/>
      <c r="F2" s="165"/>
      <c r="G2" s="165"/>
      <c r="H2" s="5"/>
      <c r="I2" s="5"/>
      <c r="J2" s="5"/>
      <c r="K2" s="8" t="s">
        <v>16</v>
      </c>
      <c r="L2" s="8"/>
      <c r="M2" s="8">
        <v>1</v>
      </c>
      <c r="N2" s="8">
        <v>2</v>
      </c>
      <c r="O2" s="8">
        <v>3</v>
      </c>
      <c r="P2" s="8">
        <v>4</v>
      </c>
      <c r="Q2" s="8">
        <v>5</v>
      </c>
      <c r="R2" s="8">
        <v>6</v>
      </c>
      <c r="S2" s="8">
        <v>7</v>
      </c>
      <c r="T2" s="8">
        <v>8</v>
      </c>
      <c r="U2" s="8">
        <v>9</v>
      </c>
      <c r="V2" s="8">
        <v>10</v>
      </c>
      <c r="W2" s="8">
        <v>11</v>
      </c>
      <c r="X2" s="8">
        <v>12</v>
      </c>
      <c r="Y2" s="8">
        <v>13</v>
      </c>
      <c r="Z2" s="8">
        <v>14</v>
      </c>
      <c r="AA2" s="8">
        <v>15</v>
      </c>
      <c r="AB2" s="8">
        <v>16</v>
      </c>
      <c r="AC2" s="8">
        <v>17</v>
      </c>
      <c r="AD2" s="8">
        <v>18</v>
      </c>
      <c r="AH2" s="5" t="s">
        <v>97</v>
      </c>
      <c r="AI2" s="5" t="s">
        <v>98</v>
      </c>
      <c r="AJ2" s="5" t="s">
        <v>95</v>
      </c>
    </row>
    <row r="3" spans="2:35" ht="15.75">
      <c r="B3" s="16"/>
      <c r="C3" s="16"/>
      <c r="D3" s="16"/>
      <c r="E3" s="16"/>
      <c r="F3" s="16"/>
      <c r="H3" s="7"/>
      <c r="I3" s="7"/>
      <c r="J3" s="7"/>
      <c r="K3" s="8">
        <v>1</v>
      </c>
      <c r="L3" s="9" t="s">
        <v>94</v>
      </c>
      <c r="M3" s="9">
        <v>1</v>
      </c>
      <c r="N3" s="9">
        <v>2</v>
      </c>
      <c r="O3" s="9">
        <v>3</v>
      </c>
      <c r="P3" s="9">
        <v>4</v>
      </c>
      <c r="Q3" s="9">
        <v>5</v>
      </c>
      <c r="R3" s="9">
        <v>6</v>
      </c>
      <c r="S3" s="9">
        <v>7</v>
      </c>
      <c r="T3" s="9">
        <v>8</v>
      </c>
      <c r="U3" s="9">
        <v>9</v>
      </c>
      <c r="V3" s="9">
        <v>10</v>
      </c>
      <c r="W3" s="9">
        <v>14</v>
      </c>
      <c r="X3" s="9">
        <v>18</v>
      </c>
      <c r="Y3" s="9">
        <v>20</v>
      </c>
      <c r="Z3" s="9">
        <v>23</v>
      </c>
      <c r="AA3" s="6">
        <v>25</v>
      </c>
      <c r="AB3" s="9">
        <v>30</v>
      </c>
      <c r="AC3" s="9">
        <v>40</v>
      </c>
      <c r="AD3" s="9">
        <v>50</v>
      </c>
      <c r="AG3" s="5" t="s">
        <v>16</v>
      </c>
      <c r="AH3" s="5">
        <f>LOOKUP(F14,M3:AD3,M2:AD2)</f>
        <v>14</v>
      </c>
      <c r="AI3" s="5">
        <f>AH3+1</f>
        <v>15</v>
      </c>
    </row>
    <row r="4" spans="2:35" ht="15.75">
      <c r="B4" t="s">
        <v>17</v>
      </c>
      <c r="C4" s="166"/>
      <c r="D4" s="166"/>
      <c r="E4" s="16"/>
      <c r="F4" s="12" t="s">
        <v>9</v>
      </c>
      <c r="G4" s="12"/>
      <c r="H4" s="162"/>
      <c r="I4" s="162"/>
      <c r="J4" s="29"/>
      <c r="K4" s="8">
        <v>2</v>
      </c>
      <c r="L4" s="10" t="s">
        <v>93</v>
      </c>
      <c r="M4" s="9">
        <v>13.9</v>
      </c>
      <c r="N4" s="9">
        <v>18.8</v>
      </c>
      <c r="O4" s="6">
        <v>22.6</v>
      </c>
      <c r="P4" s="9">
        <v>26.95</v>
      </c>
      <c r="Q4" s="9">
        <v>30</v>
      </c>
      <c r="R4" s="9">
        <v>32.6</v>
      </c>
      <c r="S4" s="9">
        <v>34.6</v>
      </c>
      <c r="T4" s="9">
        <v>36.1</v>
      </c>
      <c r="U4" s="9">
        <v>37.8</v>
      </c>
      <c r="V4" s="9">
        <v>39</v>
      </c>
      <c r="W4" s="9">
        <v>42</v>
      </c>
      <c r="X4" s="9">
        <v>44.35</v>
      </c>
      <c r="Y4" s="9">
        <v>45.2</v>
      </c>
      <c r="Z4" s="9">
        <v>46.3</v>
      </c>
      <c r="AA4" s="9">
        <v>46.7</v>
      </c>
      <c r="AB4" s="9">
        <v>47.8</v>
      </c>
      <c r="AC4" s="9">
        <v>49.1</v>
      </c>
      <c r="AD4" s="9">
        <v>50</v>
      </c>
      <c r="AG4" s="5" t="s">
        <v>96</v>
      </c>
      <c r="AH4" s="5">
        <f>LOOKUP(AH3,M2:AD2,M3:AD3)</f>
        <v>23</v>
      </c>
      <c r="AI4" s="5">
        <f>LOOKUP(AI3,M2:AD2,M3:AD3)</f>
        <v>25</v>
      </c>
    </row>
    <row r="5" spans="2:36" ht="15.75">
      <c r="B5" t="s">
        <v>19</v>
      </c>
      <c r="C5" s="167" t="s">
        <v>140</v>
      </c>
      <c r="D5" s="167"/>
      <c r="E5" s="16"/>
      <c r="F5" s="168" t="s">
        <v>10</v>
      </c>
      <c r="G5" s="168"/>
      <c r="H5" s="169"/>
      <c r="I5" s="169"/>
      <c r="J5" s="29"/>
      <c r="AG5" s="5" t="s">
        <v>99</v>
      </c>
      <c r="AH5" s="5">
        <f>LOOKUP(AH4,M3:AD3,M4:AD4)</f>
        <v>46.3</v>
      </c>
      <c r="AI5" s="5">
        <f>LOOKUP(AI4,M3:AD3,M4:AD4)</f>
        <v>46.7</v>
      </c>
      <c r="AJ5" s="5">
        <f>((AI5-AH5)/(AI4-AH4))*(F14-AH4)+AH5</f>
        <v>46.3</v>
      </c>
    </row>
    <row r="6" spans="2:10" ht="15.75">
      <c r="B6" t="s">
        <v>18</v>
      </c>
      <c r="C6" s="20">
        <v>37859</v>
      </c>
      <c r="D6" s="21"/>
      <c r="E6" s="16"/>
      <c r="F6" s="168" t="s">
        <v>11</v>
      </c>
      <c r="G6" s="168"/>
      <c r="H6" s="169"/>
      <c r="I6" s="169"/>
      <c r="J6" s="29"/>
    </row>
    <row r="7" spans="2:29" ht="15.75">
      <c r="B7" s="17"/>
      <c r="C7" s="17"/>
      <c r="D7" s="17"/>
      <c r="E7" s="16"/>
      <c r="F7" s="16"/>
      <c r="H7" s="5"/>
      <c r="I7" s="5"/>
      <c r="J7" s="5"/>
      <c r="L7"/>
      <c r="M7"/>
      <c r="N7"/>
      <c r="O7"/>
      <c r="P7"/>
      <c r="Q7"/>
      <c r="R7"/>
      <c r="S7"/>
      <c r="T7"/>
      <c r="U7"/>
      <c r="V7"/>
      <c r="W7"/>
      <c r="X7"/>
      <c r="Y7"/>
      <c r="Z7"/>
      <c r="AA7"/>
      <c r="AB7"/>
      <c r="AC7"/>
    </row>
    <row r="8" spans="2:30" ht="24.75" customHeight="1">
      <c r="B8" s="16"/>
      <c r="C8" s="16"/>
      <c r="D8" s="16"/>
      <c r="E8" s="51"/>
      <c r="F8" s="16"/>
      <c r="H8" s="5"/>
      <c r="I8" s="5"/>
      <c r="J8" s="5"/>
      <c r="K8" s="8"/>
      <c r="L8" s="8" t="s">
        <v>124</v>
      </c>
      <c r="M8" s="8"/>
      <c r="N8" s="8"/>
      <c r="O8" s="8"/>
      <c r="P8" s="8"/>
      <c r="Q8" s="8"/>
      <c r="R8" s="8"/>
      <c r="S8" s="8"/>
      <c r="T8" s="8"/>
      <c r="U8" s="8"/>
      <c r="V8" s="8"/>
      <c r="W8" s="8"/>
      <c r="X8" s="8"/>
      <c r="Y8" s="8"/>
      <c r="Z8" s="8"/>
      <c r="AA8" s="8"/>
      <c r="AB8" s="8"/>
      <c r="AC8" s="8"/>
      <c r="AD8" s="8"/>
    </row>
    <row r="9" spans="2:48" ht="15.75">
      <c r="B9" s="170" t="s">
        <v>68</v>
      </c>
      <c r="C9" s="170"/>
      <c r="D9" s="170"/>
      <c r="E9" s="11"/>
      <c r="F9" s="11" t="s">
        <v>14</v>
      </c>
      <c r="H9" s="5"/>
      <c r="I9" s="5"/>
      <c r="J9" s="5"/>
      <c r="K9" s="8" t="s">
        <v>16</v>
      </c>
      <c r="L9" s="8"/>
      <c r="M9" s="8">
        <v>1</v>
      </c>
      <c r="N9" s="8">
        <v>2</v>
      </c>
      <c r="O9" s="8">
        <v>3</v>
      </c>
      <c r="P9" s="8">
        <v>4</v>
      </c>
      <c r="Q9" s="8">
        <v>5</v>
      </c>
      <c r="R9" s="8">
        <v>6</v>
      </c>
      <c r="S9" s="8">
        <v>7</v>
      </c>
      <c r="T9" s="8">
        <v>8</v>
      </c>
      <c r="U9" s="8">
        <v>9</v>
      </c>
      <c r="V9" s="8">
        <v>10</v>
      </c>
      <c r="W9" s="8">
        <v>11</v>
      </c>
      <c r="X9" s="8">
        <v>12</v>
      </c>
      <c r="Y9" s="8">
        <v>13</v>
      </c>
      <c r="Z9" s="8">
        <v>14</v>
      </c>
      <c r="AA9" s="8">
        <v>15</v>
      </c>
      <c r="AB9" s="8">
        <v>16</v>
      </c>
      <c r="AC9" s="8">
        <v>17</v>
      </c>
      <c r="AD9" s="8">
        <v>18</v>
      </c>
      <c r="AH9" s="5" t="s">
        <v>97</v>
      </c>
      <c r="AI9" s="5" t="s">
        <v>98</v>
      </c>
      <c r="AJ9" s="5" t="s">
        <v>95</v>
      </c>
      <c r="AK9"/>
      <c r="AL9"/>
      <c r="AM9"/>
      <c r="AN9"/>
      <c r="AO9"/>
      <c r="AP9"/>
      <c r="AQ9"/>
      <c r="AR9"/>
      <c r="AS9"/>
      <c r="AT9"/>
      <c r="AU9"/>
      <c r="AV9"/>
    </row>
    <row r="10" spans="2:48" ht="0.75" customHeight="1">
      <c r="B10" s="168"/>
      <c r="C10" s="168"/>
      <c r="D10" s="168"/>
      <c r="F10" s="29"/>
      <c r="H10" s="5"/>
      <c r="I10" s="5"/>
      <c r="J10" s="5"/>
      <c r="K10" s="8">
        <v>1</v>
      </c>
      <c r="L10" s="9" t="s">
        <v>94</v>
      </c>
      <c r="M10" s="9">
        <v>1</v>
      </c>
      <c r="N10" s="9">
        <v>2</v>
      </c>
      <c r="O10" s="9">
        <v>3</v>
      </c>
      <c r="P10" s="9">
        <v>4</v>
      </c>
      <c r="Q10" s="9">
        <v>5</v>
      </c>
      <c r="R10" s="9">
        <v>6</v>
      </c>
      <c r="S10" s="9">
        <v>7</v>
      </c>
      <c r="T10" s="9">
        <v>8</v>
      </c>
      <c r="U10" s="9">
        <v>9</v>
      </c>
      <c r="V10" s="9">
        <v>10</v>
      </c>
      <c r="W10" s="9">
        <v>14</v>
      </c>
      <c r="X10" s="9">
        <v>18</v>
      </c>
      <c r="Y10" s="9">
        <v>20</v>
      </c>
      <c r="Z10" s="9">
        <v>23</v>
      </c>
      <c r="AA10" s="6">
        <v>25</v>
      </c>
      <c r="AB10" s="9">
        <v>30</v>
      </c>
      <c r="AC10" s="9">
        <v>40</v>
      </c>
      <c r="AD10" s="9">
        <v>50</v>
      </c>
      <c r="AG10" s="5" t="s">
        <v>16</v>
      </c>
      <c r="AH10" s="5">
        <f>LOOKUP(F14,M10:AD10,M9:AD9)</f>
        <v>14</v>
      </c>
      <c r="AI10" s="5">
        <f>IF(AH10=18,18,AH10+1)</f>
        <v>15</v>
      </c>
      <c r="AK10"/>
      <c r="AL10"/>
      <c r="AM10"/>
      <c r="AN10"/>
      <c r="AO10"/>
      <c r="AP10"/>
      <c r="AQ10"/>
      <c r="AR10"/>
      <c r="AS10"/>
      <c r="AT10"/>
      <c r="AU10"/>
      <c r="AV10"/>
    </row>
    <row r="11" spans="2:48" ht="19.5" customHeight="1">
      <c r="B11" s="168" t="s">
        <v>69</v>
      </c>
      <c r="C11" s="168"/>
      <c r="D11" s="168"/>
      <c r="F11" s="14">
        <v>1</v>
      </c>
      <c r="H11" s="5"/>
      <c r="I11" s="5"/>
      <c r="J11" s="5"/>
      <c r="K11" s="8">
        <v>2</v>
      </c>
      <c r="L11" s="10" t="s">
        <v>93</v>
      </c>
      <c r="M11" s="9">
        <v>10</v>
      </c>
      <c r="N11" s="9">
        <v>13.5</v>
      </c>
      <c r="O11" s="6">
        <v>16.3</v>
      </c>
      <c r="P11" s="9">
        <v>19.4</v>
      </c>
      <c r="Q11" s="9">
        <v>21.6</v>
      </c>
      <c r="R11" s="9">
        <v>22.8</v>
      </c>
      <c r="S11" s="9">
        <v>23.75</v>
      </c>
      <c r="T11" s="9">
        <v>25</v>
      </c>
      <c r="U11" s="9">
        <v>25.8</v>
      </c>
      <c r="V11" s="9">
        <v>26.6</v>
      </c>
      <c r="W11" s="9">
        <v>28.6</v>
      </c>
      <c r="X11" s="9">
        <v>29.3</v>
      </c>
      <c r="Y11" s="9">
        <v>29.7</v>
      </c>
      <c r="Z11" s="9">
        <v>30</v>
      </c>
      <c r="AA11" s="9">
        <v>30.1</v>
      </c>
      <c r="AB11" s="9">
        <v>30.4</v>
      </c>
      <c r="AC11" s="9">
        <v>30.4</v>
      </c>
      <c r="AD11" s="9">
        <v>30.3</v>
      </c>
      <c r="AG11" s="5" t="s">
        <v>96</v>
      </c>
      <c r="AH11" s="5">
        <f>LOOKUP(AH10,M9:AD9,M10:AD10)</f>
        <v>23</v>
      </c>
      <c r="AI11" s="5">
        <f>LOOKUP(AI10,M9:AD9,M10:AD10)</f>
        <v>25</v>
      </c>
      <c r="AK11"/>
      <c r="AL11"/>
      <c r="AM11"/>
      <c r="AN11"/>
      <c r="AO11"/>
      <c r="AP11"/>
      <c r="AQ11"/>
      <c r="AR11"/>
      <c r="AS11"/>
      <c r="AT11"/>
      <c r="AU11"/>
      <c r="AV11"/>
    </row>
    <row r="12" spans="2:48" ht="19.5" customHeight="1">
      <c r="B12" s="168" t="s">
        <v>12</v>
      </c>
      <c r="C12" s="168"/>
      <c r="D12" s="168"/>
      <c r="F12" s="14" t="s">
        <v>113</v>
      </c>
      <c r="H12" s="5"/>
      <c r="I12" s="5"/>
      <c r="J12" s="5"/>
      <c r="AG12" s="5" t="s">
        <v>99</v>
      </c>
      <c r="AH12" s="5">
        <f>LOOKUP(AH11,M10:AD10,M11:AD11)</f>
        <v>30</v>
      </c>
      <c r="AI12" s="5">
        <f>LOOKUP(AI11,M10:AD10,M11:AD11)</f>
        <v>30.1</v>
      </c>
      <c r="AJ12" s="5">
        <f>((AI12-AH12)/(AI11-AH11))*(F14-AH11)+AH12</f>
        <v>30</v>
      </c>
      <c r="AK12"/>
      <c r="AL12"/>
      <c r="AM12"/>
      <c r="AN12"/>
      <c r="AO12"/>
      <c r="AP12"/>
      <c r="AQ12"/>
      <c r="AR12"/>
      <c r="AS12"/>
      <c r="AT12"/>
      <c r="AU12"/>
      <c r="AV12"/>
    </row>
    <row r="13" spans="2:48" ht="19.5" customHeight="1">
      <c r="B13" s="168" t="s">
        <v>70</v>
      </c>
      <c r="C13" s="168"/>
      <c r="D13" s="168"/>
      <c r="F13" s="14">
        <v>0.4</v>
      </c>
      <c r="H13" s="5"/>
      <c r="I13" s="5"/>
      <c r="J13" s="5"/>
      <c r="K13"/>
      <c r="L13"/>
      <c r="M13"/>
      <c r="N13"/>
      <c r="O13"/>
      <c r="P13"/>
      <c r="Q13"/>
      <c r="R13"/>
      <c r="S13"/>
      <c r="T13"/>
      <c r="U13"/>
      <c r="V13"/>
      <c r="W13"/>
      <c r="X13"/>
      <c r="Y13"/>
      <c r="Z13"/>
      <c r="AA13"/>
      <c r="AB13"/>
      <c r="AC13"/>
      <c r="AI13"/>
      <c r="AJ13"/>
      <c r="AK13"/>
      <c r="AL13"/>
      <c r="AM13"/>
      <c r="AN13"/>
      <c r="AO13"/>
      <c r="AP13"/>
      <c r="AQ13"/>
      <c r="AR13"/>
      <c r="AS13"/>
      <c r="AT13"/>
      <c r="AU13"/>
      <c r="AV13"/>
    </row>
    <row r="14" spans="2:48" ht="19.5" customHeight="1">
      <c r="B14" s="28" t="s">
        <v>71</v>
      </c>
      <c r="C14" s="28"/>
      <c r="D14" s="28"/>
      <c r="E14" s="28"/>
      <c r="F14" s="14">
        <v>23</v>
      </c>
      <c r="H14" s="5"/>
      <c r="I14" s="5"/>
      <c r="J14" s="5"/>
      <c r="K14"/>
      <c r="L14"/>
      <c r="M14"/>
      <c r="N14"/>
      <c r="O14"/>
      <c r="P14"/>
      <c r="Q14"/>
      <c r="R14"/>
      <c r="S14"/>
      <c r="T14"/>
      <c r="U14"/>
      <c r="V14"/>
      <c r="W14"/>
      <c r="X14"/>
      <c r="Y14"/>
      <c r="Z14"/>
      <c r="AA14"/>
      <c r="AB14"/>
      <c r="AC14"/>
      <c r="AI14"/>
      <c r="AJ14"/>
      <c r="AK14"/>
      <c r="AL14"/>
      <c r="AM14"/>
      <c r="AN14"/>
      <c r="AO14"/>
      <c r="AP14"/>
      <c r="AQ14"/>
      <c r="AR14"/>
      <c r="AS14"/>
      <c r="AT14"/>
      <c r="AU14"/>
      <c r="AV14"/>
    </row>
    <row r="15" spans="2:48" ht="19.5" customHeight="1" hidden="1">
      <c r="B15" s="171"/>
      <c r="C15" s="171"/>
      <c r="D15" s="171"/>
      <c r="E15" s="3"/>
      <c r="F15" s="14"/>
      <c r="H15" s="5"/>
      <c r="I15" s="5"/>
      <c r="J15" s="5"/>
      <c r="K15" s="8"/>
      <c r="L15" s="8" t="s">
        <v>125</v>
      </c>
      <c r="M15" s="8"/>
      <c r="N15" s="8"/>
      <c r="O15" s="8"/>
      <c r="P15" s="8"/>
      <c r="Q15" s="8"/>
      <c r="R15" s="8"/>
      <c r="S15" s="8"/>
      <c r="T15" s="8"/>
      <c r="U15" s="8"/>
      <c r="V15" s="8"/>
      <c r="W15" s="8"/>
      <c r="X15" s="8"/>
      <c r="Y15" s="8"/>
      <c r="Z15" s="8"/>
      <c r="AA15" s="8"/>
      <c r="AB15" s="8"/>
      <c r="AC15" s="8"/>
      <c r="AD15" s="8"/>
      <c r="AK15"/>
      <c r="AL15"/>
      <c r="AM15"/>
      <c r="AN15"/>
      <c r="AO15"/>
      <c r="AP15"/>
      <c r="AQ15"/>
      <c r="AR15"/>
      <c r="AS15"/>
      <c r="AT15"/>
      <c r="AU15"/>
      <c r="AV15"/>
    </row>
    <row r="16" spans="2:48" ht="19.5" customHeight="1">
      <c r="B16" s="168" t="s">
        <v>72</v>
      </c>
      <c r="C16" s="168"/>
      <c r="D16" s="168"/>
      <c r="E16" s="3"/>
      <c r="F16" s="30">
        <v>1000000</v>
      </c>
      <c r="H16" s="5"/>
      <c r="I16" s="5"/>
      <c r="J16" s="5"/>
      <c r="K16" s="8" t="s">
        <v>16</v>
      </c>
      <c r="L16" s="8"/>
      <c r="M16" s="8">
        <v>1</v>
      </c>
      <c r="N16" s="8">
        <v>2</v>
      </c>
      <c r="O16" s="8">
        <v>3</v>
      </c>
      <c r="P16" s="8">
        <v>4</v>
      </c>
      <c r="Q16" s="8">
        <v>5</v>
      </c>
      <c r="R16" s="8">
        <v>6</v>
      </c>
      <c r="S16" s="8">
        <v>7</v>
      </c>
      <c r="T16" s="8">
        <v>8</v>
      </c>
      <c r="U16" s="8">
        <v>9</v>
      </c>
      <c r="V16" s="8">
        <v>10</v>
      </c>
      <c r="W16" s="8">
        <v>11</v>
      </c>
      <c r="X16" s="8">
        <v>12</v>
      </c>
      <c r="Y16" s="8">
        <v>13</v>
      </c>
      <c r="Z16" s="8">
        <v>14</v>
      </c>
      <c r="AA16" s="8">
        <v>15</v>
      </c>
      <c r="AB16" s="8">
        <v>16</v>
      </c>
      <c r="AC16" s="8">
        <v>17</v>
      </c>
      <c r="AD16" s="8">
        <v>18</v>
      </c>
      <c r="AH16" s="5" t="s">
        <v>97</v>
      </c>
      <c r="AI16" s="5" t="s">
        <v>98</v>
      </c>
      <c r="AJ16" s="5" t="s">
        <v>95</v>
      </c>
      <c r="AK16"/>
      <c r="AL16"/>
      <c r="AM16"/>
      <c r="AN16"/>
      <c r="AO16"/>
      <c r="AP16"/>
      <c r="AQ16"/>
      <c r="AR16"/>
      <c r="AS16"/>
      <c r="AT16"/>
      <c r="AU16"/>
      <c r="AV16"/>
    </row>
    <row r="17" spans="2:48" ht="19.5" customHeight="1">
      <c r="B17" s="168" t="s">
        <v>73</v>
      </c>
      <c r="C17" s="168"/>
      <c r="D17" s="168"/>
      <c r="E17" s="3"/>
      <c r="F17" s="14">
        <v>2</v>
      </c>
      <c r="H17" s="5"/>
      <c r="I17" s="5"/>
      <c r="J17" s="5"/>
      <c r="K17" s="8">
        <v>1</v>
      </c>
      <c r="L17" s="9" t="s">
        <v>94</v>
      </c>
      <c r="M17" s="9">
        <v>1</v>
      </c>
      <c r="N17" s="9">
        <v>2</v>
      </c>
      <c r="O17" s="9">
        <v>3</v>
      </c>
      <c r="P17" s="9">
        <v>4</v>
      </c>
      <c r="Q17" s="9">
        <v>5</v>
      </c>
      <c r="R17" s="9">
        <v>6</v>
      </c>
      <c r="S17" s="9">
        <v>7</v>
      </c>
      <c r="T17" s="9">
        <v>8</v>
      </c>
      <c r="U17" s="9">
        <v>9</v>
      </c>
      <c r="V17" s="9">
        <v>10</v>
      </c>
      <c r="W17" s="9">
        <v>14</v>
      </c>
      <c r="X17" s="9">
        <v>18</v>
      </c>
      <c r="Y17" s="9">
        <v>20</v>
      </c>
      <c r="Z17" s="9">
        <v>23</v>
      </c>
      <c r="AA17" s="6">
        <v>25</v>
      </c>
      <c r="AB17" s="9">
        <v>30</v>
      </c>
      <c r="AC17" s="9">
        <v>40</v>
      </c>
      <c r="AD17" s="9">
        <v>50</v>
      </c>
      <c r="AG17" s="5" t="s">
        <v>16</v>
      </c>
      <c r="AH17" s="5">
        <f>LOOKUP(F14,M17:AD17,M16:AD16)</f>
        <v>14</v>
      </c>
      <c r="AI17" s="5">
        <f>IF(AH17=18,18,AH17+1)</f>
        <v>15</v>
      </c>
      <c r="AK17"/>
      <c r="AL17"/>
      <c r="AM17"/>
      <c r="AN17"/>
      <c r="AO17"/>
      <c r="AP17"/>
      <c r="AQ17"/>
      <c r="AR17"/>
      <c r="AS17"/>
      <c r="AT17"/>
      <c r="AU17"/>
      <c r="AV17"/>
    </row>
    <row r="18" spans="2:48" ht="17.25" customHeight="1">
      <c r="B18" s="168" t="s">
        <v>74</v>
      </c>
      <c r="C18" s="168"/>
      <c r="D18" s="168"/>
      <c r="E18" s="15"/>
      <c r="F18" s="14">
        <v>0.001</v>
      </c>
      <c r="H18" s="5"/>
      <c r="I18" s="5"/>
      <c r="J18" s="5"/>
      <c r="K18" s="8">
        <v>2</v>
      </c>
      <c r="L18" s="10" t="s">
        <v>93</v>
      </c>
      <c r="M18" s="9">
        <v>2</v>
      </c>
      <c r="N18" s="9">
        <v>3.7</v>
      </c>
      <c r="O18" s="6">
        <v>4.5</v>
      </c>
      <c r="P18" s="9">
        <v>4.95</v>
      </c>
      <c r="Q18" s="9">
        <v>5.2</v>
      </c>
      <c r="R18" s="9">
        <v>5.3</v>
      </c>
      <c r="S18" s="9">
        <v>5.31</v>
      </c>
      <c r="T18" s="9">
        <v>5.48</v>
      </c>
      <c r="U18" s="9">
        <v>5.5</v>
      </c>
      <c r="V18" s="9">
        <v>5.57</v>
      </c>
      <c r="W18" s="9">
        <v>5.57</v>
      </c>
      <c r="X18" s="9">
        <v>5.5</v>
      </c>
      <c r="Y18" s="9">
        <v>5.48</v>
      </c>
      <c r="Z18" s="9">
        <v>5.48</v>
      </c>
      <c r="AA18" s="9">
        <v>5.31</v>
      </c>
      <c r="AB18" s="9">
        <v>5.3</v>
      </c>
      <c r="AC18" s="9">
        <v>5.2</v>
      </c>
      <c r="AD18" s="9">
        <v>5.1</v>
      </c>
      <c r="AG18" s="5" t="s">
        <v>96</v>
      </c>
      <c r="AH18" s="5">
        <f>LOOKUP(AH17,M16:AD16,M17:AD17)</f>
        <v>23</v>
      </c>
      <c r="AI18" s="5">
        <f>LOOKUP(AI17,M16:AD16,M17:AD17)</f>
        <v>25</v>
      </c>
      <c r="AK18"/>
      <c r="AL18"/>
      <c r="AM18"/>
      <c r="AN18"/>
      <c r="AO18"/>
      <c r="AP18"/>
      <c r="AQ18"/>
      <c r="AR18"/>
      <c r="AS18"/>
      <c r="AT18"/>
      <c r="AU18"/>
      <c r="AV18"/>
    </row>
    <row r="19" spans="2:48" ht="0.75" customHeight="1">
      <c r="B19" s="12"/>
      <c r="C19" s="3"/>
      <c r="D19" s="3"/>
      <c r="E19" s="3"/>
      <c r="F19" s="14"/>
      <c r="H19" s="5"/>
      <c r="I19" s="5"/>
      <c r="J19" s="5"/>
      <c r="AG19" s="5" t="s">
        <v>99</v>
      </c>
      <c r="AH19" s="5">
        <f>LOOKUP(AH18,M17:AD17,M18:AD18)</f>
        <v>5.48</v>
      </c>
      <c r="AI19" s="5">
        <f>LOOKUP(AI18,M17:AD17,M18:AD18)</f>
        <v>5.31</v>
      </c>
      <c r="AJ19" s="5">
        <f>((AI19-AH19)/(AI18-AH18))*(F14-AH18)+AH19</f>
        <v>5.48</v>
      </c>
      <c r="AK19"/>
      <c r="AL19"/>
      <c r="AM19"/>
      <c r="AN19"/>
      <c r="AO19"/>
      <c r="AP19"/>
      <c r="AQ19"/>
      <c r="AR19"/>
      <c r="AS19"/>
      <c r="AT19"/>
      <c r="AU19"/>
      <c r="AV19"/>
    </row>
    <row r="20" spans="2:48" ht="18" customHeight="1">
      <c r="B20" s="19" t="s">
        <v>76</v>
      </c>
      <c r="C20" s="11"/>
      <c r="D20" s="11"/>
      <c r="E20" s="3"/>
      <c r="F20" s="55">
        <v>0.013</v>
      </c>
      <c r="H20" s="5"/>
      <c r="I20" s="5"/>
      <c r="J20" s="5"/>
      <c r="K20"/>
      <c r="L20"/>
      <c r="M20"/>
      <c r="N20"/>
      <c r="O20"/>
      <c r="P20"/>
      <c r="Q20"/>
      <c r="R20"/>
      <c r="S20"/>
      <c r="T20"/>
      <c r="U20"/>
      <c r="V20"/>
      <c r="W20"/>
      <c r="X20"/>
      <c r="Y20"/>
      <c r="Z20"/>
      <c r="AA20"/>
      <c r="AB20"/>
      <c r="AC20"/>
      <c r="AI20"/>
      <c r="AJ20"/>
      <c r="AK20"/>
      <c r="AL20"/>
      <c r="AM20"/>
      <c r="AN20"/>
      <c r="AO20"/>
      <c r="AP20"/>
      <c r="AQ20"/>
      <c r="AR20"/>
      <c r="AS20"/>
      <c r="AT20"/>
      <c r="AU20"/>
      <c r="AV20"/>
    </row>
    <row r="21" spans="2:48" ht="19.5" customHeight="1" hidden="1">
      <c r="B21" s="168"/>
      <c r="C21" s="168"/>
      <c r="D21" s="168"/>
      <c r="E21" s="3"/>
      <c r="F21" s="13"/>
      <c r="H21" s="5"/>
      <c r="I21" s="5"/>
      <c r="J21" s="5"/>
      <c r="K21"/>
      <c r="L21"/>
      <c r="M21"/>
      <c r="N21"/>
      <c r="O21"/>
      <c r="P21"/>
      <c r="Q21"/>
      <c r="R21"/>
      <c r="S21"/>
      <c r="T21"/>
      <c r="U21"/>
      <c r="V21"/>
      <c r="W21"/>
      <c r="X21"/>
      <c r="Y21"/>
      <c r="Z21"/>
      <c r="AA21"/>
      <c r="AB21"/>
      <c r="AC21"/>
      <c r="AI21"/>
      <c r="AJ21"/>
      <c r="AK21"/>
      <c r="AL21"/>
      <c r="AM21"/>
      <c r="AN21"/>
      <c r="AO21"/>
      <c r="AP21"/>
      <c r="AQ21"/>
      <c r="AR21"/>
      <c r="AS21"/>
      <c r="AT21"/>
      <c r="AU21"/>
      <c r="AV21"/>
    </row>
    <row r="22" spans="2:48" ht="19.5" customHeight="1">
      <c r="B22" s="12" t="s">
        <v>78</v>
      </c>
      <c r="C22" s="3"/>
      <c r="D22" s="3"/>
      <c r="E22" s="3"/>
      <c r="F22" s="14">
        <v>6.4</v>
      </c>
      <c r="H22" s="5"/>
      <c r="I22" s="5"/>
      <c r="J22" s="5"/>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row>
    <row r="23" spans="2:48" ht="19.5" customHeight="1">
      <c r="B23" t="s">
        <v>115</v>
      </c>
      <c r="F23" s="14">
        <v>10.8</v>
      </c>
      <c r="H23" s="5"/>
      <c r="I23" s="5"/>
      <c r="J23" s="5"/>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row>
    <row r="24" spans="2:48" ht="19.5" customHeight="1">
      <c r="B24" t="s">
        <v>114</v>
      </c>
      <c r="F24" s="14">
        <v>3.5</v>
      </c>
      <c r="H24" s="5"/>
      <c r="I24" s="5"/>
      <c r="J24" s="5"/>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row>
    <row r="25" spans="2:48" ht="19.5" customHeight="1">
      <c r="B25" s="12" t="s">
        <v>119</v>
      </c>
      <c r="F25" s="14">
        <v>5.4</v>
      </c>
      <c r="H25" s="5"/>
      <c r="I25" s="5"/>
      <c r="J25" s="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row>
    <row r="26" spans="2:51" ht="19.5" customHeight="1">
      <c r="B26" t="s">
        <v>79</v>
      </c>
      <c r="F26" s="14">
        <v>5.4</v>
      </c>
      <c r="H26" s="5"/>
      <c r="I26" s="5"/>
      <c r="J26" s="5"/>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Y26" s="18"/>
    </row>
    <row r="27" spans="2:48" ht="19.5" customHeight="1">
      <c r="B27" t="s">
        <v>80</v>
      </c>
      <c r="F27" s="14">
        <v>0.16</v>
      </c>
      <c r="H27" s="5"/>
      <c r="I27" s="5"/>
      <c r="J27" s="5"/>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row>
    <row r="28" spans="2:48" ht="19.5" customHeight="1">
      <c r="B28" t="s">
        <v>81</v>
      </c>
      <c r="F28" s="14">
        <v>30</v>
      </c>
      <c r="H28" s="5"/>
      <c r="I28" s="5"/>
      <c r="J28" s="5"/>
      <c r="K28"/>
      <c r="L28"/>
      <c r="M28"/>
      <c r="N28"/>
      <c r="O28"/>
      <c r="P28"/>
      <c r="Q28"/>
      <c r="R28"/>
      <c r="S28"/>
      <c r="T28"/>
      <c r="U28"/>
      <c r="V28"/>
      <c r="W28"/>
      <c r="X28"/>
      <c r="Y28"/>
      <c r="Z28"/>
      <c r="AA28"/>
      <c r="AB28"/>
      <c r="AC28"/>
      <c r="AI28"/>
      <c r="AJ28"/>
      <c r="AK28"/>
      <c r="AL28"/>
      <c r="AM28"/>
      <c r="AN28"/>
      <c r="AO28"/>
      <c r="AP28"/>
      <c r="AQ28"/>
      <c r="AR28"/>
      <c r="AS28"/>
      <c r="AT28"/>
      <c r="AU28"/>
      <c r="AV28"/>
    </row>
    <row r="29" spans="2:48" ht="19.5" customHeight="1">
      <c r="B29" t="s">
        <v>139</v>
      </c>
      <c r="F29" s="14">
        <v>1</v>
      </c>
      <c r="H29" s="5"/>
      <c r="I29" s="5"/>
      <c r="J29" s="5"/>
      <c r="K29"/>
      <c r="L29"/>
      <c r="M29"/>
      <c r="N29"/>
      <c r="O29"/>
      <c r="P29"/>
      <c r="Q29"/>
      <c r="R29"/>
      <c r="S29"/>
      <c r="T29"/>
      <c r="U29"/>
      <c r="V29"/>
      <c r="W29"/>
      <c r="X29"/>
      <c r="Y29"/>
      <c r="Z29"/>
      <c r="AA29"/>
      <c r="AB29"/>
      <c r="AC29"/>
      <c r="AI29"/>
      <c r="AJ29"/>
      <c r="AK29"/>
      <c r="AL29"/>
      <c r="AM29"/>
      <c r="AN29"/>
      <c r="AO29"/>
      <c r="AP29"/>
      <c r="AQ29"/>
      <c r="AR29"/>
      <c r="AS29"/>
      <c r="AT29"/>
      <c r="AU29"/>
      <c r="AV29"/>
    </row>
    <row r="30" spans="8:48" ht="15.75">
      <c r="H30" s="5"/>
      <c r="I30" s="5"/>
      <c r="J30" s="5"/>
      <c r="K30"/>
      <c r="L30"/>
      <c r="M30"/>
      <c r="N30"/>
      <c r="O30"/>
      <c r="P30"/>
      <c r="Q30"/>
      <c r="R30"/>
      <c r="S30"/>
      <c r="T30"/>
      <c r="U30"/>
      <c r="V30"/>
      <c r="W30"/>
      <c r="X30"/>
      <c r="Y30"/>
      <c r="Z30"/>
      <c r="AA30"/>
      <c r="AB30"/>
      <c r="AC30"/>
      <c r="AI30"/>
      <c r="AJ30"/>
      <c r="AK30"/>
      <c r="AL30"/>
      <c r="AM30"/>
      <c r="AN30"/>
      <c r="AO30"/>
      <c r="AP30"/>
      <c r="AQ30"/>
      <c r="AR30"/>
      <c r="AS30"/>
      <c r="AT30"/>
      <c r="AU30"/>
      <c r="AV30"/>
    </row>
    <row r="31" spans="2:48" ht="42" customHeight="1">
      <c r="B31" s="36"/>
      <c r="C31" s="36"/>
      <c r="D31" s="36"/>
      <c r="E31" s="36"/>
      <c r="F31" s="37" t="s">
        <v>82</v>
      </c>
      <c r="G31" s="38" t="s">
        <v>84</v>
      </c>
      <c r="H31" s="38" t="s">
        <v>83</v>
      </c>
      <c r="K31"/>
      <c r="L31"/>
      <c r="M31"/>
      <c r="N31"/>
      <c r="O31"/>
      <c r="P31"/>
      <c r="Q31"/>
      <c r="R31"/>
      <c r="S31"/>
      <c r="T31"/>
      <c r="U31" t="s">
        <v>127</v>
      </c>
      <c r="V31" t="s">
        <v>99</v>
      </c>
      <c r="W31"/>
      <c r="X31"/>
      <c r="Y31"/>
      <c r="Z31"/>
      <c r="AA31"/>
      <c r="AB31"/>
      <c r="AC31"/>
      <c r="AI31"/>
      <c r="AJ31"/>
      <c r="AK31"/>
      <c r="AL31"/>
      <c r="AM31"/>
      <c r="AN31"/>
      <c r="AO31"/>
      <c r="AP31"/>
      <c r="AQ31"/>
      <c r="AR31"/>
      <c r="AS31"/>
      <c r="AT31"/>
      <c r="AU31"/>
      <c r="AV31"/>
    </row>
    <row r="32" spans="2:52" ht="15.75" customHeight="1">
      <c r="B32" s="36"/>
      <c r="C32" s="36"/>
      <c r="D32" s="36"/>
      <c r="E32" s="36"/>
      <c r="F32" s="37" t="s">
        <v>130</v>
      </c>
      <c r="G32" s="38" t="s">
        <v>131</v>
      </c>
      <c r="H32" s="38" t="s">
        <v>132</v>
      </c>
      <c r="K32"/>
      <c r="L32"/>
      <c r="M32"/>
      <c r="N32"/>
      <c r="O32"/>
      <c r="P32"/>
      <c r="Q32"/>
      <c r="R32"/>
      <c r="S32"/>
      <c r="T32"/>
      <c r="U32" t="s">
        <v>126</v>
      </c>
      <c r="V32"/>
      <c r="W32"/>
      <c r="X32"/>
      <c r="Y32"/>
      <c r="Z32"/>
      <c r="AA32"/>
      <c r="AB32"/>
      <c r="AC32"/>
      <c r="AI32"/>
      <c r="AJ32" t="s">
        <v>128</v>
      </c>
      <c r="AK32"/>
      <c r="AL32"/>
      <c r="AM32"/>
      <c r="AN32"/>
      <c r="AO32"/>
      <c r="AP32"/>
      <c r="AQ32"/>
      <c r="AR32"/>
      <c r="AS32"/>
      <c r="AT32"/>
      <c r="AU32"/>
      <c r="AV32"/>
      <c r="AZ32" t="s">
        <v>129</v>
      </c>
    </row>
    <row r="33" spans="2:66" ht="15.75" customHeight="1">
      <c r="B33" s="39" t="s">
        <v>87</v>
      </c>
      <c r="C33" s="39"/>
      <c r="D33" s="39"/>
      <c r="E33" s="39"/>
      <c r="F33" s="42">
        <f>IF((16*LOG10($F$16*F11*$P33*$F$17/$F$13))&lt;0,0,16*LOG10($F$16*F11*$P33*$F$17/$F$13))</f>
        <v>36.65168062438671</v>
      </c>
      <c r="G33" s="42">
        <f>IF((9*LOG10($F$16*F11*$P33*$F$17/$F$13))&lt;0,0,9*LOG10($F$16*F11*$P33*$F$17/$F$13))</f>
        <v>20.616570351217522</v>
      </c>
      <c r="H33" s="49">
        <f>IF((1.5*LOG10($F$16*F11*$P33*$F$17/$F$13))&lt;0,0,1.5*LOG10($F$16*F11*$P33*$F$17/$F$13))</f>
        <v>3.436095058536254</v>
      </c>
      <c r="I33" s="5"/>
      <c r="J33" s="5"/>
      <c r="K33"/>
      <c r="L33" t="s">
        <v>106</v>
      </c>
      <c r="M33"/>
      <c r="N33"/>
      <c r="O33"/>
      <c r="P33">
        <f>F27/(100*F22^2)</f>
        <v>3.9062499999999994E-05</v>
      </c>
      <c r="Q33"/>
      <c r="R33"/>
      <c r="S33" s="32">
        <f>ROUND(F33,0)</f>
        <v>37</v>
      </c>
      <c r="T33" s="33">
        <v>16</v>
      </c>
      <c r="U33" s="32">
        <f>SMALL($S$33:$S$37,1)</f>
        <v>6</v>
      </c>
      <c r="V33" s="32">
        <f>VLOOKUP(U33,$S$33:$T$37,2,FALSE)</f>
        <v>16</v>
      </c>
      <c r="W33" s="47">
        <f aca="true" t="shared" si="0" ref="W33:X37">U33</f>
        <v>6</v>
      </c>
      <c r="X33" s="32">
        <f t="shared" si="0"/>
        <v>16</v>
      </c>
      <c r="Y33"/>
      <c r="Z33"/>
      <c r="AA33"/>
      <c r="AB33"/>
      <c r="AC33"/>
      <c r="AI33"/>
      <c r="AJ33" s="32">
        <f>G33</f>
        <v>20.616570351217522</v>
      </c>
      <c r="AK33">
        <v>9</v>
      </c>
      <c r="AL33" s="32">
        <f>SMALL(AJ33:AJ37,1)</f>
        <v>3.3159390722836286</v>
      </c>
      <c r="AM33" s="32">
        <f>VLOOKUP(AL33,$AJ$33:$AK$37,2,FALSE)</f>
        <v>9</v>
      </c>
      <c r="AN33" s="47">
        <f aca="true" t="shared" si="1" ref="AN33:AO37">AL33</f>
        <v>3.3159390722836286</v>
      </c>
      <c r="AO33" s="32">
        <f t="shared" si="1"/>
        <v>9</v>
      </c>
      <c r="AP33"/>
      <c r="AQ33"/>
      <c r="AR33"/>
      <c r="AS33"/>
      <c r="AT33"/>
      <c r="AX33" s="5"/>
      <c r="AZ33" s="32">
        <f>H33</f>
        <v>3.436095058536254</v>
      </c>
      <c r="BA33">
        <v>1.5</v>
      </c>
      <c r="BB33" s="32">
        <f>SMALL(AZ33:AZ37,1)</f>
        <v>0.5526565120472714</v>
      </c>
      <c r="BC33" s="32">
        <f>VLOOKUP(BB33,$AZ$33:$BA$37,2,FALSE)</f>
        <v>1.5</v>
      </c>
      <c r="BD33" s="47">
        <f aca="true" t="shared" si="2" ref="BD33:BE37">BB33</f>
        <v>0.5526565120472714</v>
      </c>
      <c r="BE33" s="32">
        <f t="shared" si="2"/>
        <v>1.5</v>
      </c>
      <c r="BK33" s="5"/>
      <c r="BL33" s="5"/>
      <c r="BM33" s="5"/>
      <c r="BN33" s="5"/>
    </row>
    <row r="34" spans="2:66" ht="15.75">
      <c r="B34" s="39" t="s">
        <v>88</v>
      </c>
      <c r="C34" s="39"/>
      <c r="D34" s="39"/>
      <c r="E34" s="39"/>
      <c r="F34" s="42">
        <f>IF((16*LOG10($F$16*F11*$P34*$F$17/$F$13))&lt;0,0,16*LOG10($F$16*F11*$P34*$F$17/$F$13))</f>
        <v>5.895002795170895</v>
      </c>
      <c r="G34" s="42">
        <f>IF((9*LOG10($F$16*F11*$P34*$F$17/$F$13))&lt;0,0,9*LOG10($F$16*F11*$P34*$F$17/$F$13))</f>
        <v>3.3159390722836286</v>
      </c>
      <c r="H34" s="49">
        <f>IF((1.5*LOG10($F$16*F11*$P34*$F$17/$F$13))&lt;0,0,1.5*LOG10($F$16*F11*$P34*$F$17/$F$13))</f>
        <v>0.5526565120472714</v>
      </c>
      <c r="I34" s="5"/>
      <c r="J34" s="5"/>
      <c r="K34"/>
      <c r="L34" t="s">
        <v>107</v>
      </c>
      <c r="M34"/>
      <c r="N34"/>
      <c r="O34"/>
      <c r="P34">
        <f>(0.000001+0.01*(F18/F24^2))*(F28/F23^2)</f>
        <v>4.6716217351137984E-07</v>
      </c>
      <c r="Q34"/>
      <c r="R34"/>
      <c r="S34" s="32">
        <f>ROUND(F34,0)</f>
        <v>6</v>
      </c>
      <c r="T34" s="33">
        <v>16</v>
      </c>
      <c r="U34" s="32">
        <f>SMALL($S$33:$S$37,2)</f>
        <v>37</v>
      </c>
      <c r="V34" s="32">
        <f>VLOOKUP(U34,$S$33:$T$37,2,FALSE)</f>
        <v>16</v>
      </c>
      <c r="W34" s="47">
        <f t="shared" si="0"/>
        <v>37</v>
      </c>
      <c r="X34" s="32">
        <f t="shared" si="0"/>
        <v>16</v>
      </c>
      <c r="Y34" s="34">
        <f>IF(W33=0,W34,IF(W34-W33&gt;X33,W34,IF(W34-W33&lt;0.3*X33,W34+0.3*X33,IF(W34-W33&lt;0.6*X33,W34+0.2*X33,W34+0.1*X33))))</f>
        <v>37</v>
      </c>
      <c r="Z34" s="32">
        <f>X34</f>
        <v>16</v>
      </c>
      <c r="AA34"/>
      <c r="AB34"/>
      <c r="AC34"/>
      <c r="AI34"/>
      <c r="AJ34" s="32">
        <f>G34</f>
        <v>3.3159390722836286</v>
      </c>
      <c r="AK34">
        <v>9</v>
      </c>
      <c r="AL34" s="32">
        <f>SMALL(AJ33:AJ37,2)</f>
        <v>20.616570351217522</v>
      </c>
      <c r="AM34" s="32">
        <f>VLOOKUP(AL34,$AJ$33:$AK$37,2,FALSE)</f>
        <v>9</v>
      </c>
      <c r="AN34" s="32">
        <f t="shared" si="1"/>
        <v>20.616570351217522</v>
      </c>
      <c r="AO34" s="32">
        <f t="shared" si="1"/>
        <v>9</v>
      </c>
      <c r="AP34" s="34">
        <f>IF(AN33=0,AN34,IF(AN34-AN33&gt;AO33,AN34,IF(AN34-AN33&lt;0.3*AO33,AN34+0.3*AO33,IF(AN34-AN33&lt;0.6*AO33,AN34+0.2*AO33,AN34+0.1*AO33))))</f>
        <v>20.616570351217522</v>
      </c>
      <c r="AQ34" s="32">
        <f>AO34</f>
        <v>9</v>
      </c>
      <c r="AR34"/>
      <c r="AS34"/>
      <c r="AT34"/>
      <c r="AX34" s="5"/>
      <c r="AZ34" s="32">
        <f>H34</f>
        <v>0.5526565120472714</v>
      </c>
      <c r="BA34">
        <v>1.5</v>
      </c>
      <c r="BB34" s="32">
        <f>SMALL(AZ33:AZ37,2)</f>
        <v>3.436095058536254</v>
      </c>
      <c r="BC34" s="32">
        <f>VLOOKUP(BB34,$AZ$33:$BA$37,2,FALSE)</f>
        <v>1.5</v>
      </c>
      <c r="BD34" s="32">
        <f t="shared" si="2"/>
        <v>3.436095058536254</v>
      </c>
      <c r="BE34" s="32">
        <f t="shared" si="2"/>
        <v>1.5</v>
      </c>
      <c r="BF34" s="34">
        <f>IF(BD33=0,BD34,IF(BD34-BD33&gt;BE33,BD34,IF(BD34-BD33&lt;0.3*BE33,BD34+0.3*BE33,IF(BD34-BD33&lt;0.6*BE33,BD34+0.2*BE33,BD34+0.1*BE33))))</f>
        <v>3.436095058536254</v>
      </c>
      <c r="BG34" s="32">
        <f>BE34</f>
        <v>1.5</v>
      </c>
      <c r="BK34" s="5"/>
      <c r="BL34" s="5"/>
      <c r="BM34" s="5"/>
      <c r="BN34" s="5"/>
    </row>
    <row r="35" spans="2:66" ht="15.75">
      <c r="B35" s="39" t="s">
        <v>90</v>
      </c>
      <c r="C35" s="39"/>
      <c r="D35" s="39"/>
      <c r="E35" s="39"/>
      <c r="F35" s="42">
        <f>IF(($AJ$5*LOG10($F$16*F11*$P35*$F$17/$F$13))&lt;0,0,$AJ$5*LOG10($F$16*F11*$P35*$F$17/$F$13))</f>
        <v>103.44264904115077</v>
      </c>
      <c r="G35" s="42">
        <f>IF(($AJ$12*LOG10($F$16*F11*$P$35*$F$17/$F$13))&lt;0,0,$AJ$12*LOG10($F$16*F11*$P$35*$F$17/$F$13))</f>
        <v>67.02547454070245</v>
      </c>
      <c r="H35" s="49">
        <f>IF(($AJ$19*LOG10($F$16*F11*$P$35*$F$17/$F$13))&lt;0,0,$AJ$19*LOG10($F$16*F11*$P$35*$F$17/$F$13))</f>
        <v>12.243320016101647</v>
      </c>
      <c r="I35" s="5"/>
      <c r="J35" s="5"/>
      <c r="K35"/>
      <c r="L35" t="s">
        <v>108</v>
      </c>
      <c r="M35"/>
      <c r="N35"/>
      <c r="O35"/>
      <c r="P35">
        <f>F18/(F25)^2</f>
        <v>3.4293552812071325E-05</v>
      </c>
      <c r="Q35"/>
      <c r="R35"/>
      <c r="S35" s="32">
        <f>ROUND(F35,0)</f>
        <v>103</v>
      </c>
      <c r="T35" s="33">
        <f>AJ5</f>
        <v>46.3</v>
      </c>
      <c r="U35" s="32">
        <f>SMALL($S$33:$S$37,3)</f>
        <v>53</v>
      </c>
      <c r="V35" s="32">
        <f>VLOOKUP(U35,$S$33:$T$37,2,FALSE)</f>
        <v>13</v>
      </c>
      <c r="W35" s="32">
        <f t="shared" si="0"/>
        <v>53</v>
      </c>
      <c r="X35" s="32">
        <f t="shared" si="0"/>
        <v>13</v>
      </c>
      <c r="Y35" s="32">
        <f>W35</f>
        <v>53</v>
      </c>
      <c r="Z35" s="32">
        <f>X35</f>
        <v>13</v>
      </c>
      <c r="AA35" s="34">
        <f>IF(Y34=0,Y35,IF(Y35-Y34&gt;Z34,Y35,IF(Y35-Y34&lt;0.3*Z34,Y35+0.3*Z34,IF(Y35-Y34&lt;0.6*Z34,Y35+0.2*Z34,Y35+0.1*Z34))))</f>
        <v>54.6</v>
      </c>
      <c r="AB35" s="32">
        <f>Z35</f>
        <v>13</v>
      </c>
      <c r="AC35"/>
      <c r="AI35"/>
      <c r="AJ35" s="32">
        <f>G35</f>
        <v>67.02547454070245</v>
      </c>
      <c r="AK35">
        <f>AJ12</f>
        <v>30</v>
      </c>
      <c r="AL35" s="32">
        <f>SMALL(AJ33:AJ37,3)</f>
        <v>53.04675475865852</v>
      </c>
      <c r="AM35" s="32">
        <f>VLOOKUP(AL35,$AJ$33:$AK$37,2,FALSE)</f>
        <v>13</v>
      </c>
      <c r="AN35" s="32">
        <f t="shared" si="1"/>
        <v>53.04675475865852</v>
      </c>
      <c r="AO35" s="32">
        <f t="shared" si="1"/>
        <v>13</v>
      </c>
      <c r="AP35" s="32">
        <f>AN35</f>
        <v>53.04675475865852</v>
      </c>
      <c r="AQ35" s="32">
        <f>AO35</f>
        <v>13</v>
      </c>
      <c r="AR35" s="34">
        <f>IF(AP34=0,AP35,IF(AP35-AP34&gt;AQ34,AP35,IF(AP35-AP34&lt;0.3*AQ34,AP35+0.3*AQ34,IF(AP35-AP34&lt;0.6*AQ34,AP35+0.2*AQ34,AP35+0.1*AQ34))))</f>
        <v>53.04675475865852</v>
      </c>
      <c r="AS35" s="32">
        <f>AQ35</f>
        <v>13</v>
      </c>
      <c r="AT35"/>
      <c r="AX35" s="5"/>
      <c r="AZ35" s="32">
        <f>H35</f>
        <v>12.243320016101647</v>
      </c>
      <c r="BA35">
        <f>AJ19</f>
        <v>5.48</v>
      </c>
      <c r="BB35" s="32">
        <f>SMALL(AZ33:AZ37,3)</f>
        <v>12.243320016101647</v>
      </c>
      <c r="BC35" s="32">
        <f>VLOOKUP(BB35,$AZ$33:$BA$37,2,FALSE)</f>
        <v>5.48</v>
      </c>
      <c r="BD35" s="32">
        <f t="shared" si="2"/>
        <v>12.243320016101647</v>
      </c>
      <c r="BE35" s="32">
        <f t="shared" si="2"/>
        <v>5.48</v>
      </c>
      <c r="BF35" s="32">
        <f>BD35</f>
        <v>12.243320016101647</v>
      </c>
      <c r="BG35" s="32">
        <f>BE35</f>
        <v>5.48</v>
      </c>
      <c r="BH35" s="34">
        <f>IF(BF34=0,BF35,IF(BF35-BF34&gt;BG34,BF35,IF(BF35-BF34&lt;0.3*BG34,BF35+0.3*BG34,IF(BF35-BF34&lt;0.6*BG34,BF35+0.2*BG34,BF35+0.1*BG34))))</f>
        <v>12.243320016101647</v>
      </c>
      <c r="BI35" s="32">
        <f>BG35</f>
        <v>5.48</v>
      </c>
      <c r="BK35" s="5"/>
      <c r="BL35" s="5"/>
      <c r="BM35" s="5"/>
      <c r="BN35" s="5"/>
    </row>
    <row r="36" spans="2:66" ht="15.75">
      <c r="B36" s="39" t="s">
        <v>89</v>
      </c>
      <c r="C36" s="39"/>
      <c r="D36" s="39"/>
      <c r="E36" s="39"/>
      <c r="F36" s="42">
        <f>IF((IF(MAX(F14:F15)&lt;8,0,(25+16*(LOG10($F$16*$F$11*$F$17*$P$36*10/$F$13)-1))))&lt;0,0,IF(MAX(F14:F15)&lt;8,0,(25+16*(LOG10($F$16*$F$11*$F$17*$P$36*10/$F$13)-1))))</f>
        <v>90.28831354911819</v>
      </c>
      <c r="G36" s="42">
        <f>IF((IF(MAX(F14:F15)&lt;8,0,(25+16*(LOG10(F16*F11*F17*P36*10/F13)-1))))&lt;0,0,IF(MAX(F14:F15)&lt;8,0,(25+16*(LOG10(F16*F11*F17*P36*10/F13)-1))))</f>
        <v>90.28831354911819</v>
      </c>
      <c r="H36" s="49">
        <f>IF((IF(MAX(F14:F15)&lt;8,0,(42*(LOG10(F16*F11*F17*P36*10/F13)))))&lt;0,0,IF(MAX(F14:F15)&lt;8,0,(42*(LOG10(F16*F11*F17*P36*10/F13)))))</f>
        <v>213.38182306643523</v>
      </c>
      <c r="I36" s="5"/>
      <c r="J36" s="5"/>
      <c r="K36"/>
      <c r="L36" t="s">
        <v>109</v>
      </c>
      <c r="M36"/>
      <c r="N36"/>
      <c r="O36"/>
      <c r="P36">
        <f>F20/F25</f>
        <v>0.002407407407407407</v>
      </c>
      <c r="Q36"/>
      <c r="R36"/>
      <c r="S36" s="32">
        <f>ROUND(F36,0)</f>
        <v>90</v>
      </c>
      <c r="T36" s="33">
        <v>16</v>
      </c>
      <c r="U36" s="32">
        <f>SMALL($S$33:$S$37,4)</f>
        <v>90</v>
      </c>
      <c r="V36" s="32">
        <f>VLOOKUP(U36,$S$33:$T$37,2,FALSE)</f>
        <v>16</v>
      </c>
      <c r="W36" s="32">
        <f t="shared" si="0"/>
        <v>90</v>
      </c>
      <c r="X36" s="32">
        <f t="shared" si="0"/>
        <v>16</v>
      </c>
      <c r="Y36" s="32">
        <f>W36</f>
        <v>90</v>
      </c>
      <c r="Z36" s="32">
        <f>X36</f>
        <v>16</v>
      </c>
      <c r="AA36" s="32">
        <f>Y36</f>
        <v>90</v>
      </c>
      <c r="AB36" s="32">
        <f>Z36</f>
        <v>16</v>
      </c>
      <c r="AC36" s="34">
        <f>IF(AA35=0,AA36,IF(AA36-AA35&gt;AB35,AA36,IF(AA36-AA35&lt;0.3*AB35,AA36+0.3*AB35,IF(AA36-AA35&lt;0.6*AB35,AA36+0.2*AB35,AA36+0.1*AB35))))</f>
        <v>90</v>
      </c>
      <c r="AD36" s="32">
        <f>AB36</f>
        <v>16</v>
      </c>
      <c r="AI36"/>
      <c r="AJ36" s="32">
        <f>G36</f>
        <v>90.28831354911819</v>
      </c>
      <c r="AK36">
        <v>16</v>
      </c>
      <c r="AL36" s="32">
        <f>SMALL(AJ33:AJ37,4)</f>
        <v>67.02547454070245</v>
      </c>
      <c r="AM36" s="32">
        <f>VLOOKUP(AL36,$AJ$33:$AK$37,2,FALSE)</f>
        <v>30</v>
      </c>
      <c r="AN36" s="32">
        <f t="shared" si="1"/>
        <v>67.02547454070245</v>
      </c>
      <c r="AO36" s="32">
        <f t="shared" si="1"/>
        <v>30</v>
      </c>
      <c r="AP36" s="32">
        <f>AN36</f>
        <v>67.02547454070245</v>
      </c>
      <c r="AQ36" s="32">
        <f>AO36</f>
        <v>30</v>
      </c>
      <c r="AR36" s="32">
        <f>AP36</f>
        <v>67.02547454070245</v>
      </c>
      <c r="AS36" s="32">
        <f>AQ36</f>
        <v>30</v>
      </c>
      <c r="AT36" s="34">
        <f>IF(AR35=0,AR36,IF(AR36-AR35&gt;AS35,AR36,IF(AR36-AR35&lt;0.3*AS35,AR36+0.3*AS35,IF(AR36-AR35&lt;0.6*AS35,AR36+0.2*AS35,AR36+0.1*AS35))))</f>
        <v>67.02547454070245</v>
      </c>
      <c r="AU36" s="32">
        <f>AS36</f>
        <v>30</v>
      </c>
      <c r="AX36" s="5"/>
      <c r="AZ36" s="32">
        <f>H36</f>
        <v>213.38182306643523</v>
      </c>
      <c r="BA36">
        <v>42</v>
      </c>
      <c r="BB36" s="32">
        <f>SMALL(AZ33:AZ37,4)</f>
        <v>150.9792250823358</v>
      </c>
      <c r="BC36" s="32">
        <f>VLOOKUP(BB36,$AZ$33:$BA$37,2,FALSE)</f>
        <v>37</v>
      </c>
      <c r="BD36" s="32">
        <f t="shared" si="2"/>
        <v>150.9792250823358</v>
      </c>
      <c r="BE36" s="32">
        <f t="shared" si="2"/>
        <v>37</v>
      </c>
      <c r="BF36" s="32">
        <f>BD36</f>
        <v>150.9792250823358</v>
      </c>
      <c r="BG36" s="32">
        <f>BE36</f>
        <v>37</v>
      </c>
      <c r="BH36" s="32">
        <f>BF36</f>
        <v>150.9792250823358</v>
      </c>
      <c r="BI36" s="32">
        <f>BG36</f>
        <v>37</v>
      </c>
      <c r="BJ36" s="34">
        <f>IF(BH35=0,BH36,IF(BH36-BH35&gt;BI35,BH36,IF(BH36-BH35&lt;0.3*BI35,BH36+0.3*BI35,IF(BH36-BH35&lt;0.6*BI35,BH36+0.2*BI35,BH36+0.1*BI35))))</f>
        <v>150.9792250823358</v>
      </c>
      <c r="BK36" s="32">
        <f>BI36</f>
        <v>37</v>
      </c>
      <c r="BL36" s="5"/>
      <c r="BM36" s="5"/>
      <c r="BN36" s="5"/>
    </row>
    <row r="37" spans="2:66" ht="15" customHeight="1">
      <c r="B37" s="39" t="s">
        <v>85</v>
      </c>
      <c r="C37" s="39"/>
      <c r="D37" s="39"/>
      <c r="E37" s="39"/>
      <c r="F37" s="42">
        <f>IF(F29="",0,IF((IF(MAX(F14:F15)&lt;8,0,13*LOG10($F$16*$F$11*$F$17*$P$37*10/$F$13)))&lt;0,0,IF(MAX(F14:F15)&lt;8,0,13*LOG10($F$16*$F$11*$F$17*$P$37*10/$F$13))))</f>
        <v>53.04675475865852</v>
      </c>
      <c r="G37" s="42">
        <f>IF(F29="",0,IF((IF(MAX(F14:F15)&lt;8,0,13*LOG10(F16*F11*F17*P37*10/F13)))&lt;0,0,IF(MAX(F14:F15)&lt;8,0,13*LOG10(F16*F11*F17*P37*10/F13))))</f>
        <v>53.04675475865852</v>
      </c>
      <c r="H37" s="42">
        <f>IF(F29="",0,IF((IF(MAX(F14:F15)&lt;8,0,37*LOG10(F16*F11*F17*P37*10/F13)))&lt;0,0,IF(MAX(F14:F15)&lt;8,0,37*LOG10(F16*F11*F17*P37*10/F13))))</f>
        <v>150.9792250823358</v>
      </c>
      <c r="I37" s="5"/>
      <c r="J37" s="5"/>
      <c r="K37"/>
      <c r="L37" t="s">
        <v>110</v>
      </c>
      <c r="M37"/>
      <c r="N37"/>
      <c r="O37"/>
      <c r="P37">
        <f>0.1*F20*F29/F26</f>
        <v>0.00024074074074074072</v>
      </c>
      <c r="Q37"/>
      <c r="R37"/>
      <c r="S37" s="32">
        <f>ROUND(F37,0)</f>
        <v>53</v>
      </c>
      <c r="T37" s="33">
        <v>13</v>
      </c>
      <c r="U37" s="32">
        <f>SMALL($S$33:$S$37,5)</f>
        <v>103</v>
      </c>
      <c r="V37" s="32">
        <f>VLOOKUP(U37,$S$33:$T$37,2,FALSE)</f>
        <v>46.3</v>
      </c>
      <c r="W37" s="32">
        <f t="shared" si="0"/>
        <v>103</v>
      </c>
      <c r="X37" s="32">
        <f t="shared" si="0"/>
        <v>46.3</v>
      </c>
      <c r="Y37" s="32">
        <f>W37</f>
        <v>103</v>
      </c>
      <c r="Z37" s="32">
        <f>X37</f>
        <v>46.3</v>
      </c>
      <c r="AA37" s="32">
        <f>Y37</f>
        <v>103</v>
      </c>
      <c r="AB37" s="32">
        <f>Z37</f>
        <v>46.3</v>
      </c>
      <c r="AC37" s="32">
        <f>AA37</f>
        <v>103</v>
      </c>
      <c r="AD37" s="32">
        <f>AB37</f>
        <v>46.3</v>
      </c>
      <c r="AE37" s="34">
        <f>IF(AC36=0,AC37,IF(AC37-AC36&gt;AD36,AC37,IF(AC37-AC36&lt;0.3*AD36,AC37+0.3*AD36,IF(AC37-AC36&lt;0.6*AD36,AC37+0.2*AD36,AC37+0.1*AD36))))</f>
        <v>104.6</v>
      </c>
      <c r="AF37" s="35"/>
      <c r="AI37"/>
      <c r="AJ37" s="32">
        <f>G37</f>
        <v>53.04675475865852</v>
      </c>
      <c r="AK37">
        <v>13</v>
      </c>
      <c r="AL37" s="32">
        <f>SMALL(AJ33:AJ37,5)</f>
        <v>90.28831354911819</v>
      </c>
      <c r="AM37" s="32">
        <f>VLOOKUP(AL37,$AJ$33:$AK$37,2,FALSE)</f>
        <v>16</v>
      </c>
      <c r="AN37" s="32">
        <f t="shared" si="1"/>
        <v>90.28831354911819</v>
      </c>
      <c r="AO37" s="32">
        <f t="shared" si="1"/>
        <v>16</v>
      </c>
      <c r="AP37" s="32">
        <f>AN37</f>
        <v>90.28831354911819</v>
      </c>
      <c r="AQ37" s="32">
        <f>AO37</f>
        <v>16</v>
      </c>
      <c r="AR37" s="32">
        <f>AP37</f>
        <v>90.28831354911819</v>
      </c>
      <c r="AS37" s="32">
        <f>AQ37</f>
        <v>16</v>
      </c>
      <c r="AT37" s="32">
        <f>AR37</f>
        <v>90.28831354911819</v>
      </c>
      <c r="AU37" s="32">
        <f>AS37</f>
        <v>16</v>
      </c>
      <c r="AV37" s="34">
        <f>IF(AT36=0,AT37,IF(AT37-AT36&gt;AU36,AT37,IF(AT37-AT36&lt;0.3*AU36,AT37+0.3*AU36,IF(AT37-AT36&lt;0.6*AU36,AT37+0.2*AU36,AT37+0.1*AU36))))</f>
        <v>93.28831354911819</v>
      </c>
      <c r="AW37" s="35"/>
      <c r="AX37" s="5"/>
      <c r="AZ37" s="32">
        <f>H37</f>
        <v>150.9792250823358</v>
      </c>
      <c r="BA37">
        <v>37</v>
      </c>
      <c r="BB37" s="32">
        <f>SMALL(AZ33:AZ37,5)</f>
        <v>213.38182306643523</v>
      </c>
      <c r="BC37" s="32">
        <f>VLOOKUP(BB37,$AZ$33:$BA$37,2,FALSE)</f>
        <v>42</v>
      </c>
      <c r="BD37" s="32">
        <f t="shared" si="2"/>
        <v>213.38182306643523</v>
      </c>
      <c r="BE37" s="32">
        <f t="shared" si="2"/>
        <v>42</v>
      </c>
      <c r="BF37" s="32">
        <f>BD37</f>
        <v>213.38182306643523</v>
      </c>
      <c r="BG37" s="32">
        <f>BE37</f>
        <v>42</v>
      </c>
      <c r="BH37" s="32">
        <f>BF37</f>
        <v>213.38182306643523</v>
      </c>
      <c r="BI37" s="32">
        <f>BG37</f>
        <v>42</v>
      </c>
      <c r="BJ37" s="32">
        <f>BH37</f>
        <v>213.38182306643523</v>
      </c>
      <c r="BK37" s="32">
        <f>BI37</f>
        <v>42</v>
      </c>
      <c r="BL37" s="34">
        <f>IF(BJ36=0,BJ37,IF(BJ37-BJ36&gt;BK36,BJ37,IF(BJ37-BJ36&lt;0.3*BK36,BJ37+0.3*BK36,IF(BJ37-BJ36&lt;0.6*BK36,BJ37+0.2*BK36,BJ37+0.1*BK36))))</f>
        <v>213.38182306643523</v>
      </c>
      <c r="BM37" s="35"/>
      <c r="BN37" s="5"/>
    </row>
    <row r="38" spans="2:48" ht="15.75">
      <c r="B38" s="39"/>
      <c r="C38" s="39"/>
      <c r="D38" s="39"/>
      <c r="E38" s="39"/>
      <c r="F38" s="40"/>
      <c r="G38" s="40"/>
      <c r="H38" s="40"/>
      <c r="I38" s="5"/>
      <c r="J38" s="5"/>
      <c r="K38"/>
      <c r="L38"/>
      <c r="M38"/>
      <c r="N38"/>
      <c r="O38"/>
      <c r="P38"/>
      <c r="Q38"/>
      <c r="R38"/>
      <c r="S38"/>
      <c r="T38"/>
      <c r="U38"/>
      <c r="V38"/>
      <c r="W38"/>
      <c r="X38"/>
      <c r="Y38"/>
      <c r="Z38"/>
      <c r="AA38"/>
      <c r="AB38"/>
      <c r="AC38"/>
      <c r="AI38"/>
      <c r="AJ38"/>
      <c r="AK38"/>
      <c r="AL38"/>
      <c r="AM38"/>
      <c r="AN38"/>
      <c r="AO38"/>
      <c r="AP38"/>
      <c r="AQ38"/>
      <c r="AR38"/>
      <c r="AS38"/>
      <c r="AT38"/>
      <c r="AU38"/>
      <c r="AV38"/>
    </row>
    <row r="39" spans="2:48" ht="15.75">
      <c r="B39" s="41" t="s">
        <v>92</v>
      </c>
      <c r="C39" s="41"/>
      <c r="D39" s="41"/>
      <c r="E39" s="39"/>
      <c r="F39" s="43">
        <f>AE37</f>
        <v>104.6</v>
      </c>
      <c r="G39" s="43">
        <f>AV37</f>
        <v>93.28831354911819</v>
      </c>
      <c r="H39" s="48">
        <f>BL37</f>
        <v>213.38182306643523</v>
      </c>
      <c r="AI39"/>
      <c r="AJ39"/>
      <c r="AK39"/>
      <c r="AL39"/>
      <c r="AM39"/>
      <c r="AN39"/>
      <c r="AO39"/>
      <c r="AP39"/>
      <c r="AQ39"/>
      <c r="AR39"/>
      <c r="AS39"/>
      <c r="AT39"/>
      <c r="AU39"/>
      <c r="AV39"/>
    </row>
    <row r="40" spans="35:48" ht="15.75">
      <c r="AI40"/>
      <c r="AJ40"/>
      <c r="AK40"/>
      <c r="AL40"/>
      <c r="AM40"/>
      <c r="AN40"/>
      <c r="AO40"/>
      <c r="AP40"/>
      <c r="AQ40"/>
      <c r="AR40"/>
      <c r="AS40"/>
      <c r="AT40"/>
      <c r="AU40"/>
      <c r="AV40"/>
    </row>
    <row r="41" spans="35:48" ht="15.75">
      <c r="AI41"/>
      <c r="AJ41"/>
      <c r="AK41"/>
      <c r="AL41"/>
      <c r="AM41"/>
      <c r="AN41"/>
      <c r="AO41"/>
      <c r="AP41"/>
      <c r="AQ41"/>
      <c r="AR41"/>
      <c r="AS41"/>
      <c r="AT41"/>
      <c r="AU41"/>
      <c r="AV41"/>
    </row>
    <row r="42" spans="35:48" ht="15.75">
      <c r="AI42"/>
      <c r="AJ42"/>
      <c r="AK42"/>
      <c r="AL42"/>
      <c r="AM42"/>
      <c r="AN42"/>
      <c r="AO42"/>
      <c r="AP42"/>
      <c r="AQ42"/>
      <c r="AR42"/>
      <c r="AS42"/>
      <c r="AT42"/>
      <c r="AU42"/>
      <c r="AV42"/>
    </row>
    <row r="43" spans="35:48" ht="15.75">
      <c r="AI43"/>
      <c r="AJ43"/>
      <c r="AK43"/>
      <c r="AL43"/>
      <c r="AM43"/>
      <c r="AN43"/>
      <c r="AO43"/>
      <c r="AP43"/>
      <c r="AQ43"/>
      <c r="AR43"/>
      <c r="AS43"/>
      <c r="AT43"/>
      <c r="AU43"/>
      <c r="AV43"/>
    </row>
    <row r="44" spans="35:48" ht="15.75">
      <c r="AI44"/>
      <c r="AJ44"/>
      <c r="AK44"/>
      <c r="AL44"/>
      <c r="AM44"/>
      <c r="AN44"/>
      <c r="AO44"/>
      <c r="AP44"/>
      <c r="AQ44"/>
      <c r="AR44"/>
      <c r="AS44"/>
      <c r="AT44"/>
      <c r="AU44"/>
      <c r="AV44"/>
    </row>
    <row r="45" spans="35:48" ht="15.75">
      <c r="AI45"/>
      <c r="AJ45"/>
      <c r="AK45"/>
      <c r="AL45"/>
      <c r="AM45"/>
      <c r="AN45"/>
      <c r="AO45"/>
      <c r="AP45"/>
      <c r="AQ45"/>
      <c r="AR45"/>
      <c r="AS45"/>
      <c r="AT45"/>
      <c r="AU45"/>
      <c r="AV45"/>
    </row>
    <row r="46" spans="35:48" ht="15.75">
      <c r="AI46"/>
      <c r="AJ46"/>
      <c r="AK46"/>
      <c r="AL46"/>
      <c r="AM46"/>
      <c r="AN46"/>
      <c r="AO46"/>
      <c r="AP46"/>
      <c r="AQ46"/>
      <c r="AR46"/>
      <c r="AS46"/>
      <c r="AT46"/>
      <c r="AU46"/>
      <c r="AV46"/>
    </row>
    <row r="47" spans="35:48" ht="15.75">
      <c r="AI47"/>
      <c r="AJ47"/>
      <c r="AK47"/>
      <c r="AL47"/>
      <c r="AM47"/>
      <c r="AN47"/>
      <c r="AO47"/>
      <c r="AP47"/>
      <c r="AQ47"/>
      <c r="AR47"/>
      <c r="AS47"/>
      <c r="AT47"/>
      <c r="AU47"/>
      <c r="AV47"/>
    </row>
    <row r="48" spans="35:48" ht="15.75">
      <c r="AI48"/>
      <c r="AJ48"/>
      <c r="AK48"/>
      <c r="AL48"/>
      <c r="AM48"/>
      <c r="AN48"/>
      <c r="AO48"/>
      <c r="AP48"/>
      <c r="AQ48"/>
      <c r="AR48"/>
      <c r="AS48"/>
      <c r="AT48"/>
      <c r="AU48"/>
      <c r="AV48"/>
    </row>
    <row r="49" spans="35:48" ht="15.75">
      <c r="AI49"/>
      <c r="AJ49"/>
      <c r="AK49"/>
      <c r="AL49"/>
      <c r="AM49"/>
      <c r="AN49"/>
      <c r="AO49"/>
      <c r="AP49"/>
      <c r="AQ49"/>
      <c r="AR49"/>
      <c r="AS49"/>
      <c r="AT49"/>
      <c r="AU49"/>
      <c r="AV49"/>
    </row>
    <row r="50" spans="35:48" ht="15.75">
      <c r="AI50"/>
      <c r="AJ50"/>
      <c r="AK50"/>
      <c r="AL50"/>
      <c r="AM50"/>
      <c r="AN50"/>
      <c r="AO50"/>
      <c r="AP50"/>
      <c r="AQ50"/>
      <c r="AR50"/>
      <c r="AS50"/>
      <c r="AT50"/>
      <c r="AU50"/>
      <c r="AV50"/>
    </row>
  </sheetData>
  <sheetProtection password="CC3B" sheet="1" objects="1" scenarios="1"/>
  <mergeCells count="18">
    <mergeCell ref="B2:G2"/>
    <mergeCell ref="B17:D17"/>
    <mergeCell ref="B10:D10"/>
    <mergeCell ref="B11:D11"/>
    <mergeCell ref="B12:D12"/>
    <mergeCell ref="C5:D5"/>
    <mergeCell ref="B21:D21"/>
    <mergeCell ref="B15:D15"/>
    <mergeCell ref="B18:D18"/>
    <mergeCell ref="B16:D16"/>
    <mergeCell ref="H4:I4"/>
    <mergeCell ref="H5:I5"/>
    <mergeCell ref="H6:I6"/>
    <mergeCell ref="B13:D13"/>
    <mergeCell ref="F5:G5"/>
    <mergeCell ref="C4:D4"/>
    <mergeCell ref="F6:G6"/>
    <mergeCell ref="B9:D9"/>
  </mergeCells>
  <printOptions/>
  <pageMargins left="0.25" right="0.25" top="0.58" bottom="1" header="0" footer="0"/>
  <pageSetup horizontalDpi="300" verticalDpi="300" orientation="portrait" r:id="rId3"/>
  <legacyDrawing r:id="rId2"/>
</worksheet>
</file>

<file path=xl/worksheets/sheet7.xml><?xml version="1.0" encoding="utf-8"?>
<worksheet xmlns="http://schemas.openxmlformats.org/spreadsheetml/2006/main" xmlns:r="http://schemas.openxmlformats.org/officeDocument/2006/relationships">
  <sheetPr codeName="Hoja8"/>
  <dimension ref="B1:BN52"/>
  <sheetViews>
    <sheetView showGridLines="0" showRowColHeaders="0" zoomScaleSheetLayoutView="100" workbookViewId="0" topLeftCell="A10">
      <selection activeCell="E38" sqref="E38"/>
    </sheetView>
  </sheetViews>
  <sheetFormatPr defaultColWidth="11.00390625" defaultRowHeight="15.75"/>
  <cols>
    <col min="1" max="1" width="7.125" style="2" customWidth="1"/>
    <col min="4" max="4" width="13.875" style="0" customWidth="1"/>
    <col min="5" max="5" width="4.25390625" style="0" customWidth="1"/>
    <col min="6" max="6" width="10.875" style="0" customWidth="1"/>
    <col min="7" max="7" width="6.875" style="0" customWidth="1"/>
    <col min="8" max="8" width="10.00390625" style="0" customWidth="1"/>
    <col min="9" max="9" width="8.50390625" style="0" customWidth="1"/>
    <col min="10" max="10" width="5.50390625" style="0" hidden="1" customWidth="1"/>
    <col min="11" max="11" width="5.625" style="5" hidden="1" customWidth="1"/>
    <col min="12" max="12" width="9.125" style="5" hidden="1" customWidth="1"/>
    <col min="13" max="15" width="5.625" style="5" hidden="1" customWidth="1"/>
    <col min="16" max="16" width="8.375" style="5" hidden="1" customWidth="1"/>
    <col min="17" max="30" width="5.625" style="5" hidden="1" customWidth="1"/>
    <col min="31" max="31" width="5.00390625" style="5" hidden="1" customWidth="1"/>
    <col min="32" max="32" width="5.625" style="5" hidden="1" customWidth="1"/>
    <col min="33" max="33" width="7.25390625" style="5" hidden="1" customWidth="1"/>
    <col min="34" max="34" width="7.00390625" style="5" hidden="1" customWidth="1"/>
    <col min="35" max="35" width="6.25390625" style="5" hidden="1" customWidth="1"/>
    <col min="36" max="36" width="6.625" style="5" hidden="1" customWidth="1"/>
    <col min="37" max="37" width="6.50390625" style="5" hidden="1" customWidth="1"/>
    <col min="38" max="38" width="6.375" style="5" hidden="1" customWidth="1"/>
    <col min="39" max="39" width="7.125" style="5" hidden="1" customWidth="1"/>
    <col min="40" max="40" width="5.625" style="5" hidden="1" customWidth="1"/>
    <col min="41" max="41" width="6.125" style="5" hidden="1" customWidth="1"/>
    <col min="42" max="42" width="6.25390625" style="5" hidden="1" customWidth="1"/>
    <col min="43" max="43" width="6.75390625" style="5" hidden="1" customWidth="1"/>
    <col min="44" max="44" width="6.375" style="5" hidden="1" customWidth="1"/>
    <col min="45" max="45" width="6.75390625" style="5" hidden="1" customWidth="1"/>
    <col min="46" max="46" width="3.75390625" style="5" hidden="1" customWidth="1"/>
    <col min="47" max="47" width="6.125" style="5" hidden="1" customWidth="1"/>
    <col min="48" max="48" width="6.50390625" style="5" hidden="1" customWidth="1"/>
    <col min="49" max="49" width="6.375" style="5" hidden="1" customWidth="1"/>
    <col min="50" max="50" width="6.375" style="0" hidden="1" customWidth="1"/>
    <col min="51" max="51" width="9.50390625" style="0" hidden="1" customWidth="1"/>
    <col min="52" max="52" width="5.25390625" style="0" hidden="1" customWidth="1"/>
    <col min="53" max="53" width="7.375" style="0" hidden="1" customWidth="1"/>
    <col min="54" max="54" width="5.875" style="0" hidden="1" customWidth="1"/>
    <col min="55" max="55" width="6.375" style="0" hidden="1" customWidth="1"/>
    <col min="56" max="56" width="6.875" style="0" hidden="1" customWidth="1"/>
    <col min="57" max="57" width="7.625" style="0" hidden="1" customWidth="1"/>
    <col min="58" max="58" width="4.625" style="0" hidden="1" customWidth="1"/>
    <col min="59" max="59" width="7.75390625" style="0" hidden="1" customWidth="1"/>
    <col min="60" max="60" width="5.00390625" style="0" hidden="1" customWidth="1"/>
    <col min="61" max="61" width="7.25390625" style="0" hidden="1" customWidth="1"/>
    <col min="62" max="62" width="7.125" style="0" hidden="1" customWidth="1"/>
    <col min="63" max="63" width="7.625" style="0" hidden="1" customWidth="1"/>
    <col min="64" max="64" width="6.625" style="0" hidden="1" customWidth="1"/>
    <col min="65" max="65" width="6.25390625" style="0" hidden="1" customWidth="1"/>
    <col min="66" max="66" width="6.75390625" style="0" hidden="1" customWidth="1"/>
    <col min="67" max="71" width="0" style="0" hidden="1" customWidth="1"/>
  </cols>
  <sheetData>
    <row r="1" spans="8:30" ht="21.75" customHeight="1">
      <c r="H1" s="5"/>
      <c r="I1" s="5"/>
      <c r="J1" s="5"/>
      <c r="K1"/>
      <c r="L1"/>
      <c r="M1"/>
      <c r="N1"/>
      <c r="O1"/>
      <c r="P1"/>
      <c r="Q1"/>
      <c r="R1"/>
      <c r="S1"/>
      <c r="T1"/>
      <c r="U1"/>
      <c r="V1"/>
      <c r="W1"/>
      <c r="X1"/>
      <c r="Y1"/>
      <c r="Z1"/>
      <c r="AA1"/>
      <c r="AB1"/>
      <c r="AC1"/>
      <c r="AD1"/>
    </row>
    <row r="2" spans="2:37" ht="15.75">
      <c r="B2" s="165" t="s">
        <v>133</v>
      </c>
      <c r="C2" s="165"/>
      <c r="D2" s="165"/>
      <c r="E2" s="165"/>
      <c r="F2" s="165"/>
      <c r="G2" s="165"/>
      <c r="H2" s="5"/>
      <c r="I2" s="5"/>
      <c r="J2" s="5"/>
      <c r="K2"/>
      <c r="L2"/>
      <c r="M2"/>
      <c r="N2"/>
      <c r="O2"/>
      <c r="P2"/>
      <c r="Q2"/>
      <c r="R2"/>
      <c r="S2"/>
      <c r="T2"/>
      <c r="U2"/>
      <c r="V2"/>
      <c r="W2"/>
      <c r="X2"/>
      <c r="Y2"/>
      <c r="Z2"/>
      <c r="AA2"/>
      <c r="AB2"/>
      <c r="AC2"/>
      <c r="AD2"/>
      <c r="AG2"/>
      <c r="AH2"/>
      <c r="AI2"/>
      <c r="AJ2"/>
      <c r="AK2"/>
    </row>
    <row r="3" spans="2:37" ht="15.75">
      <c r="B3" s="16"/>
      <c r="C3" s="16"/>
      <c r="D3" s="16"/>
      <c r="E3" s="16"/>
      <c r="F3" s="16"/>
      <c r="H3" s="7"/>
      <c r="I3" s="7"/>
      <c r="J3" s="7"/>
      <c r="K3"/>
      <c r="L3"/>
      <c r="M3"/>
      <c r="N3"/>
      <c r="O3"/>
      <c r="P3"/>
      <c r="Q3"/>
      <c r="R3"/>
      <c r="S3"/>
      <c r="T3"/>
      <c r="U3"/>
      <c r="V3"/>
      <c r="W3"/>
      <c r="X3"/>
      <c r="Y3"/>
      <c r="Z3"/>
      <c r="AA3"/>
      <c r="AB3"/>
      <c r="AC3"/>
      <c r="AD3"/>
      <c r="AG3"/>
      <c r="AH3"/>
      <c r="AI3"/>
      <c r="AJ3"/>
      <c r="AK3"/>
    </row>
    <row r="4" spans="2:37" ht="15.75">
      <c r="B4" t="s">
        <v>17</v>
      </c>
      <c r="C4" s="166" t="s">
        <v>20</v>
      </c>
      <c r="D4" s="166"/>
      <c r="E4" s="16"/>
      <c r="F4" s="12" t="s">
        <v>9</v>
      </c>
      <c r="G4" s="12"/>
      <c r="H4" s="162" t="s">
        <v>134</v>
      </c>
      <c r="I4" s="162"/>
      <c r="J4" s="29"/>
      <c r="K4"/>
      <c r="L4"/>
      <c r="M4"/>
      <c r="N4"/>
      <c r="O4"/>
      <c r="P4"/>
      <c r="Q4"/>
      <c r="R4"/>
      <c r="S4"/>
      <c r="T4"/>
      <c r="U4"/>
      <c r="V4"/>
      <c r="W4"/>
      <c r="X4"/>
      <c r="Y4"/>
      <c r="Z4"/>
      <c r="AA4"/>
      <c r="AB4"/>
      <c r="AC4"/>
      <c r="AD4"/>
      <c r="AG4"/>
      <c r="AH4"/>
      <c r="AI4"/>
      <c r="AJ4"/>
      <c r="AK4"/>
    </row>
    <row r="5" spans="2:37" ht="15.75">
      <c r="B5" t="s">
        <v>19</v>
      </c>
      <c r="C5" s="167" t="s">
        <v>140</v>
      </c>
      <c r="D5" s="167"/>
      <c r="E5" s="16"/>
      <c r="F5" s="168" t="s">
        <v>10</v>
      </c>
      <c r="G5" s="168"/>
      <c r="H5" s="169" t="s">
        <v>151</v>
      </c>
      <c r="I5" s="169"/>
      <c r="J5" s="29"/>
      <c r="AG5"/>
      <c r="AH5"/>
      <c r="AI5"/>
      <c r="AJ5"/>
      <c r="AK5"/>
    </row>
    <row r="6" spans="2:37" ht="15.75">
      <c r="B6" t="s">
        <v>18</v>
      </c>
      <c r="C6" s="20"/>
      <c r="D6" s="21"/>
      <c r="E6" s="16"/>
      <c r="F6" s="168" t="s">
        <v>11</v>
      </c>
      <c r="G6" s="168"/>
      <c r="H6" s="169">
        <v>3</v>
      </c>
      <c r="I6" s="169"/>
      <c r="J6" s="29"/>
      <c r="AG6"/>
      <c r="AH6"/>
      <c r="AI6"/>
      <c r="AJ6"/>
      <c r="AK6"/>
    </row>
    <row r="7" spans="2:37" ht="15.75">
      <c r="B7" s="17"/>
      <c r="C7" s="17"/>
      <c r="D7" s="17"/>
      <c r="E7" s="16"/>
      <c r="F7" s="16"/>
      <c r="H7" s="5"/>
      <c r="I7" s="5"/>
      <c r="J7" s="5"/>
      <c r="L7"/>
      <c r="M7"/>
      <c r="N7"/>
      <c r="O7"/>
      <c r="P7"/>
      <c r="Q7"/>
      <c r="R7"/>
      <c r="S7"/>
      <c r="T7"/>
      <c r="U7"/>
      <c r="V7"/>
      <c r="W7"/>
      <c r="X7"/>
      <c r="Y7"/>
      <c r="Z7"/>
      <c r="AA7"/>
      <c r="AB7"/>
      <c r="AC7"/>
      <c r="AG7"/>
      <c r="AH7"/>
      <c r="AI7"/>
      <c r="AJ7"/>
      <c r="AK7"/>
    </row>
    <row r="8" spans="2:37" ht="42" customHeight="1">
      <c r="B8" s="16"/>
      <c r="C8" s="16"/>
      <c r="D8" s="16"/>
      <c r="E8" s="16"/>
      <c r="F8" s="16"/>
      <c r="H8" s="5"/>
      <c r="I8" s="5"/>
      <c r="J8" s="5"/>
      <c r="K8"/>
      <c r="L8"/>
      <c r="M8"/>
      <c r="N8"/>
      <c r="O8"/>
      <c r="P8"/>
      <c r="Q8"/>
      <c r="R8"/>
      <c r="S8"/>
      <c r="T8"/>
      <c r="U8"/>
      <c r="V8"/>
      <c r="W8"/>
      <c r="X8"/>
      <c r="Y8"/>
      <c r="Z8"/>
      <c r="AA8"/>
      <c r="AB8"/>
      <c r="AC8"/>
      <c r="AD8"/>
      <c r="AG8"/>
      <c r="AH8"/>
      <c r="AI8"/>
      <c r="AJ8"/>
      <c r="AK8"/>
    </row>
    <row r="9" spans="2:48" ht="32.25" customHeight="1">
      <c r="B9" s="170" t="s">
        <v>68</v>
      </c>
      <c r="C9" s="170"/>
      <c r="D9" s="170"/>
      <c r="E9" s="11"/>
      <c r="F9" s="11" t="s">
        <v>14</v>
      </c>
      <c r="H9" s="5"/>
      <c r="I9" s="5"/>
      <c r="J9" s="5"/>
      <c r="K9"/>
      <c r="L9"/>
      <c r="M9"/>
      <c r="N9"/>
      <c r="O9"/>
      <c r="P9"/>
      <c r="Q9"/>
      <c r="R9"/>
      <c r="S9"/>
      <c r="T9"/>
      <c r="U9"/>
      <c r="V9"/>
      <c r="W9"/>
      <c r="X9"/>
      <c r="Y9"/>
      <c r="Z9"/>
      <c r="AA9"/>
      <c r="AB9"/>
      <c r="AC9"/>
      <c r="AD9"/>
      <c r="AG9"/>
      <c r="AH9"/>
      <c r="AI9"/>
      <c r="AJ9"/>
      <c r="AK9"/>
      <c r="AL9"/>
      <c r="AM9"/>
      <c r="AN9"/>
      <c r="AO9"/>
      <c r="AP9"/>
      <c r="AQ9"/>
      <c r="AR9"/>
      <c r="AS9"/>
      <c r="AT9"/>
      <c r="AU9"/>
      <c r="AV9"/>
    </row>
    <row r="10" spans="2:48" ht="0.75" customHeight="1">
      <c r="B10" s="168"/>
      <c r="C10" s="168"/>
      <c r="D10" s="168"/>
      <c r="F10" s="29"/>
      <c r="H10" s="5"/>
      <c r="I10" s="5"/>
      <c r="J10" s="5"/>
      <c r="K10"/>
      <c r="L10"/>
      <c r="M10"/>
      <c r="N10"/>
      <c r="O10"/>
      <c r="P10"/>
      <c r="Q10"/>
      <c r="R10"/>
      <c r="S10"/>
      <c r="T10"/>
      <c r="U10"/>
      <c r="V10"/>
      <c r="W10"/>
      <c r="X10"/>
      <c r="Y10"/>
      <c r="Z10"/>
      <c r="AA10"/>
      <c r="AB10"/>
      <c r="AC10"/>
      <c r="AD10"/>
      <c r="AG10"/>
      <c r="AH10"/>
      <c r="AI10"/>
      <c r="AJ10"/>
      <c r="AK10"/>
      <c r="AL10"/>
      <c r="AM10"/>
      <c r="AN10"/>
      <c r="AO10"/>
      <c r="AP10"/>
      <c r="AQ10"/>
      <c r="AR10"/>
      <c r="AS10"/>
      <c r="AT10"/>
      <c r="AU10"/>
      <c r="AV10"/>
    </row>
    <row r="11" spans="2:48" ht="19.5" customHeight="1">
      <c r="B11" s="168" t="s">
        <v>69</v>
      </c>
      <c r="C11" s="168"/>
      <c r="D11" s="168"/>
      <c r="F11" s="13">
        <v>1</v>
      </c>
      <c r="H11" s="5"/>
      <c r="I11" s="5"/>
      <c r="J11" s="5"/>
      <c r="K11"/>
      <c r="L11"/>
      <c r="M11"/>
      <c r="N11"/>
      <c r="O11"/>
      <c r="P11"/>
      <c r="Q11"/>
      <c r="R11"/>
      <c r="S11"/>
      <c r="T11"/>
      <c r="U11"/>
      <c r="V11"/>
      <c r="W11"/>
      <c r="X11"/>
      <c r="Y11"/>
      <c r="Z11"/>
      <c r="AA11"/>
      <c r="AB11"/>
      <c r="AC11"/>
      <c r="AD11"/>
      <c r="AG11"/>
      <c r="AH11"/>
      <c r="AI11"/>
      <c r="AJ11"/>
      <c r="AK11"/>
      <c r="AL11"/>
      <c r="AM11"/>
      <c r="AN11"/>
      <c r="AO11"/>
      <c r="AP11"/>
      <c r="AQ11"/>
      <c r="AR11"/>
      <c r="AS11"/>
      <c r="AT11"/>
      <c r="AU11"/>
      <c r="AV11"/>
    </row>
    <row r="12" spans="2:48" ht="19.5" customHeight="1">
      <c r="B12" s="168" t="s">
        <v>12</v>
      </c>
      <c r="C12" s="168"/>
      <c r="D12" s="168"/>
      <c r="F12" s="14" t="s">
        <v>113</v>
      </c>
      <c r="H12" s="5"/>
      <c r="I12" s="5"/>
      <c r="J12" s="5"/>
      <c r="AG12"/>
      <c r="AH12"/>
      <c r="AI12"/>
      <c r="AJ12"/>
      <c r="AK12"/>
      <c r="AL12"/>
      <c r="AM12"/>
      <c r="AN12"/>
      <c r="AO12"/>
      <c r="AP12"/>
      <c r="AQ12"/>
      <c r="AR12"/>
      <c r="AS12"/>
      <c r="AT12"/>
      <c r="AU12"/>
      <c r="AV12"/>
    </row>
    <row r="13" spans="2:48" ht="19.5" customHeight="1">
      <c r="B13" s="168" t="s">
        <v>70</v>
      </c>
      <c r="C13" s="168"/>
      <c r="D13" s="168"/>
      <c r="F13" s="14">
        <v>0.12</v>
      </c>
      <c r="H13" s="5"/>
      <c r="I13" s="5"/>
      <c r="J13" s="5"/>
      <c r="K13"/>
      <c r="L13"/>
      <c r="M13"/>
      <c r="N13"/>
      <c r="O13"/>
      <c r="P13"/>
      <c r="Q13"/>
      <c r="R13"/>
      <c r="S13"/>
      <c r="T13"/>
      <c r="U13"/>
      <c r="V13"/>
      <c r="W13"/>
      <c r="X13"/>
      <c r="Y13"/>
      <c r="Z13"/>
      <c r="AA13"/>
      <c r="AB13"/>
      <c r="AC13"/>
      <c r="AI13"/>
      <c r="AJ13"/>
      <c r="AK13"/>
      <c r="AL13"/>
      <c r="AM13"/>
      <c r="AN13"/>
      <c r="AO13"/>
      <c r="AP13"/>
      <c r="AQ13"/>
      <c r="AR13"/>
      <c r="AS13"/>
      <c r="AT13"/>
      <c r="AU13"/>
      <c r="AV13"/>
    </row>
    <row r="14" spans="2:48" ht="19.5" customHeight="1">
      <c r="B14" s="28" t="s">
        <v>71</v>
      </c>
      <c r="C14" s="28"/>
      <c r="D14" s="28"/>
      <c r="E14" s="28"/>
      <c r="F14" s="14">
        <v>15</v>
      </c>
      <c r="H14" s="5"/>
      <c r="I14" s="5"/>
      <c r="J14" s="5"/>
      <c r="K14"/>
      <c r="L14"/>
      <c r="M14"/>
      <c r="N14"/>
      <c r="O14"/>
      <c r="P14"/>
      <c r="Q14"/>
      <c r="R14"/>
      <c r="S14"/>
      <c r="T14"/>
      <c r="U14"/>
      <c r="V14"/>
      <c r="W14"/>
      <c r="X14"/>
      <c r="Y14"/>
      <c r="Z14"/>
      <c r="AA14"/>
      <c r="AB14"/>
      <c r="AC14"/>
      <c r="AI14"/>
      <c r="AJ14"/>
      <c r="AK14"/>
      <c r="AL14"/>
      <c r="AM14"/>
      <c r="AN14"/>
      <c r="AO14"/>
      <c r="AP14"/>
      <c r="AQ14"/>
      <c r="AR14"/>
      <c r="AS14"/>
      <c r="AT14"/>
      <c r="AU14"/>
      <c r="AV14"/>
    </row>
    <row r="15" spans="2:48" ht="19.5" customHeight="1" hidden="1">
      <c r="B15" s="171"/>
      <c r="C15" s="171"/>
      <c r="D15" s="171"/>
      <c r="E15" s="3"/>
      <c r="F15" s="29"/>
      <c r="H15" s="5"/>
      <c r="I15" s="5"/>
      <c r="J15" s="5"/>
      <c r="K15" s="8"/>
      <c r="L15" s="8" t="s">
        <v>125</v>
      </c>
      <c r="M15" s="8"/>
      <c r="N15" s="8"/>
      <c r="O15" s="8"/>
      <c r="P15" s="8"/>
      <c r="Q15" s="8"/>
      <c r="R15" s="8"/>
      <c r="S15" s="8"/>
      <c r="T15" s="8"/>
      <c r="U15" s="8"/>
      <c r="V15" s="8"/>
      <c r="W15" s="8"/>
      <c r="X15" s="8"/>
      <c r="Y15" s="8"/>
      <c r="Z15" s="8"/>
      <c r="AA15" s="8"/>
      <c r="AB15" s="8"/>
      <c r="AC15" s="8"/>
      <c r="AD15" s="8"/>
      <c r="AK15"/>
      <c r="AL15"/>
      <c r="AM15"/>
      <c r="AN15"/>
      <c r="AO15"/>
      <c r="AP15"/>
      <c r="AQ15"/>
      <c r="AR15"/>
      <c r="AS15"/>
      <c r="AT15"/>
      <c r="AU15"/>
      <c r="AV15"/>
    </row>
    <row r="16" spans="2:48" ht="19.5" customHeight="1">
      <c r="B16" s="168" t="s">
        <v>72</v>
      </c>
      <c r="C16" s="168"/>
      <c r="D16" s="168"/>
      <c r="E16" s="3"/>
      <c r="F16" s="30">
        <v>500000</v>
      </c>
      <c r="H16" s="5"/>
      <c r="I16" s="5"/>
      <c r="J16" s="5"/>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row>
    <row r="17" spans="2:48" ht="19.5" customHeight="1">
      <c r="B17" s="168" t="s">
        <v>73</v>
      </c>
      <c r="C17" s="168"/>
      <c r="D17" s="168"/>
      <c r="E17" s="3"/>
      <c r="F17" s="14">
        <v>1</v>
      </c>
      <c r="H17" s="5"/>
      <c r="I17" s="5"/>
      <c r="J17" s="5"/>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row>
    <row r="18" spans="2:48" ht="19.5" customHeight="1">
      <c r="B18" s="168" t="s">
        <v>74</v>
      </c>
      <c r="C18" s="168"/>
      <c r="D18" s="168"/>
      <c r="E18" s="15"/>
      <c r="F18" s="14">
        <v>0.0001</v>
      </c>
      <c r="H18" s="5"/>
      <c r="I18" s="5"/>
      <c r="J18" s="5"/>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row>
    <row r="19" spans="2:48" ht="19.5" customHeight="1" hidden="1">
      <c r="B19" s="12"/>
      <c r="C19" s="3"/>
      <c r="D19" s="3"/>
      <c r="E19" s="3"/>
      <c r="F19" s="29"/>
      <c r="H19" s="5"/>
      <c r="I19" s="5"/>
      <c r="J19" s="5"/>
      <c r="AG19" s="5" t="s">
        <v>99</v>
      </c>
      <c r="AH19" s="5" t="e">
        <f>LOOKUP(AH18,M17:AD17,M18:AD18)</f>
        <v>#N/A</v>
      </c>
      <c r="AI19" s="5" t="e">
        <f>LOOKUP(AI18,M17:AD17,M18:AD18)</f>
        <v>#N/A</v>
      </c>
      <c r="AJ19" s="5" t="e">
        <f>((AI19-AH19)/(AI18-AH18))*(F14-AH18)+AH19</f>
        <v>#N/A</v>
      </c>
      <c r="AK19"/>
      <c r="AL19"/>
      <c r="AM19"/>
      <c r="AN19"/>
      <c r="AO19"/>
      <c r="AP19"/>
      <c r="AQ19"/>
      <c r="AR19"/>
      <c r="AS19"/>
      <c r="AT19"/>
      <c r="AU19"/>
      <c r="AV19"/>
    </row>
    <row r="20" spans="2:48" ht="19.5" customHeight="1">
      <c r="B20" s="19" t="s">
        <v>76</v>
      </c>
      <c r="C20" s="11"/>
      <c r="D20" s="11"/>
      <c r="E20" s="3"/>
      <c r="F20" s="13">
        <v>0.0001</v>
      </c>
      <c r="H20" s="5"/>
      <c r="I20" s="5"/>
      <c r="J20" s="5"/>
      <c r="K20"/>
      <c r="L20"/>
      <c r="M20"/>
      <c r="N20"/>
      <c r="O20"/>
      <c r="P20"/>
      <c r="Q20"/>
      <c r="R20"/>
      <c r="S20"/>
      <c r="T20"/>
      <c r="U20"/>
      <c r="V20"/>
      <c r="W20"/>
      <c r="X20"/>
      <c r="Y20"/>
      <c r="Z20"/>
      <c r="AA20"/>
      <c r="AB20"/>
      <c r="AC20"/>
      <c r="AI20"/>
      <c r="AJ20"/>
      <c r="AK20"/>
      <c r="AL20"/>
      <c r="AM20"/>
      <c r="AN20"/>
      <c r="AO20"/>
      <c r="AP20"/>
      <c r="AQ20"/>
      <c r="AR20"/>
      <c r="AS20"/>
      <c r="AT20"/>
      <c r="AU20"/>
      <c r="AV20"/>
    </row>
    <row r="21" spans="2:48" ht="19.5" customHeight="1" hidden="1">
      <c r="B21" s="168"/>
      <c r="C21" s="168"/>
      <c r="D21" s="168"/>
      <c r="E21" s="3"/>
      <c r="F21" s="29"/>
      <c r="H21" s="5"/>
      <c r="I21" s="5"/>
      <c r="J21" s="5"/>
      <c r="K21"/>
      <c r="L21"/>
      <c r="M21"/>
      <c r="N21"/>
      <c r="O21"/>
      <c r="P21"/>
      <c r="Q21"/>
      <c r="R21"/>
      <c r="S21"/>
      <c r="T21"/>
      <c r="U21"/>
      <c r="V21"/>
      <c r="W21"/>
      <c r="X21"/>
      <c r="Y21"/>
      <c r="Z21"/>
      <c r="AA21"/>
      <c r="AB21"/>
      <c r="AC21"/>
      <c r="AI21"/>
      <c r="AJ21"/>
      <c r="AK21"/>
      <c r="AL21"/>
      <c r="AM21"/>
      <c r="AN21"/>
      <c r="AO21"/>
      <c r="AP21"/>
      <c r="AQ21"/>
      <c r="AR21"/>
      <c r="AS21"/>
      <c r="AT21"/>
      <c r="AU21"/>
      <c r="AV21"/>
    </row>
    <row r="22" spans="2:48" ht="0.75" customHeight="1" hidden="1">
      <c r="B22" s="12"/>
      <c r="C22" s="3"/>
      <c r="D22" s="3"/>
      <c r="E22" s="3"/>
      <c r="F22" s="13"/>
      <c r="H22" s="5"/>
      <c r="I22" s="5"/>
      <c r="J22" s="5"/>
      <c r="K22" s="8"/>
      <c r="L22" s="8" t="s">
        <v>100</v>
      </c>
      <c r="M22" s="8"/>
      <c r="N22" s="8"/>
      <c r="O22" s="8"/>
      <c r="P22" s="8"/>
      <c r="Q22" s="8"/>
      <c r="R22" s="8"/>
      <c r="S22" s="8"/>
      <c r="T22" s="8"/>
      <c r="U22" s="8"/>
      <c r="V22" s="8"/>
      <c r="W22" s="8"/>
      <c r="X22" s="8"/>
      <c r="Y22" s="8"/>
      <c r="Z22" s="8"/>
      <c r="AA22" s="8"/>
      <c r="AB22" s="8"/>
      <c r="AC22" s="8"/>
      <c r="AD22" s="8"/>
      <c r="AK22"/>
      <c r="AL22"/>
      <c r="AM22"/>
      <c r="AN22"/>
      <c r="AO22"/>
      <c r="AP22"/>
      <c r="AQ22"/>
      <c r="AR22"/>
      <c r="AS22"/>
      <c r="AT22"/>
      <c r="AU22"/>
      <c r="AV22"/>
    </row>
    <row r="23" spans="2:49" ht="19.5" customHeight="1">
      <c r="B23" t="s">
        <v>115</v>
      </c>
      <c r="F23" s="14">
        <v>12.3</v>
      </c>
      <c r="H23" s="5"/>
      <c r="I23" s="5"/>
      <c r="J23" s="5"/>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row>
    <row r="24" spans="2:49" ht="19.5" customHeight="1">
      <c r="B24" t="s">
        <v>114</v>
      </c>
      <c r="F24" s="14">
        <v>6</v>
      </c>
      <c r="H24" s="5"/>
      <c r="I24" s="5"/>
      <c r="J24" s="5"/>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row>
    <row r="25" spans="2:49" ht="19.5" customHeight="1" hidden="1">
      <c r="B25" s="12"/>
      <c r="F25" s="14"/>
      <c r="H25" s="5"/>
      <c r="I25" s="5"/>
      <c r="J25" s="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row>
    <row r="26" spans="2:49" ht="18.75" customHeight="1">
      <c r="B26" t="s">
        <v>79</v>
      </c>
      <c r="F26" s="14">
        <v>18.3</v>
      </c>
      <c r="H26" s="5"/>
      <c r="I26" s="5"/>
      <c r="J26" s="5"/>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row>
    <row r="27" spans="6:48" ht="1.5" customHeight="1" hidden="1">
      <c r="F27" s="14"/>
      <c r="H27" s="5"/>
      <c r="I27" s="5"/>
      <c r="J27" s="5"/>
      <c r="AB27"/>
      <c r="AG27" s="5" t="s">
        <v>99</v>
      </c>
      <c r="AH27" s="5" t="e">
        <f>LOOKUP(AH26,M25:AA25,M26:AA26)</f>
        <v>#N/A</v>
      </c>
      <c r="AI27" s="5" t="e">
        <f>LOOKUP(AI26,M25:AA25,M26:AA26)</f>
        <v>#N/A</v>
      </c>
      <c r="AJ27" s="5" t="e">
        <f>((AI27-AH27)/(AI26-AH26))*(F15-AH26)+AH27</f>
        <v>#N/A</v>
      </c>
      <c r="AK27"/>
      <c r="AL27"/>
      <c r="AM27"/>
      <c r="AN27"/>
      <c r="AO27"/>
      <c r="AP27"/>
      <c r="AQ27"/>
      <c r="AR27"/>
      <c r="AS27"/>
      <c r="AT27"/>
      <c r="AU27"/>
      <c r="AV27"/>
    </row>
    <row r="28" spans="2:48" ht="19.5" customHeight="1">
      <c r="B28" t="s">
        <v>81</v>
      </c>
      <c r="F28" s="14">
        <v>2</v>
      </c>
      <c r="H28" s="5"/>
      <c r="I28" s="5"/>
      <c r="J28" s="5"/>
      <c r="K28"/>
      <c r="L28"/>
      <c r="M28"/>
      <c r="N28"/>
      <c r="O28"/>
      <c r="P28"/>
      <c r="Q28"/>
      <c r="R28"/>
      <c r="S28"/>
      <c r="T28"/>
      <c r="U28"/>
      <c r="V28"/>
      <c r="W28"/>
      <c r="X28"/>
      <c r="Y28"/>
      <c r="Z28"/>
      <c r="AA28"/>
      <c r="AB28"/>
      <c r="AC28"/>
      <c r="AI28"/>
      <c r="AJ28"/>
      <c r="AK28"/>
      <c r="AL28"/>
      <c r="AM28"/>
      <c r="AN28"/>
      <c r="AO28"/>
      <c r="AP28"/>
      <c r="AQ28"/>
      <c r="AR28"/>
      <c r="AS28"/>
      <c r="AT28"/>
      <c r="AU28"/>
      <c r="AV28"/>
    </row>
    <row r="29" spans="2:48" ht="19.5" customHeight="1">
      <c r="B29" t="s">
        <v>139</v>
      </c>
      <c r="F29" s="14">
        <v>0.15</v>
      </c>
      <c r="H29" s="5"/>
      <c r="I29" s="5"/>
      <c r="J29" s="5"/>
      <c r="K29"/>
      <c r="L29"/>
      <c r="M29"/>
      <c r="N29"/>
      <c r="O29"/>
      <c r="P29"/>
      <c r="Q29"/>
      <c r="R29"/>
      <c r="S29"/>
      <c r="T29"/>
      <c r="U29"/>
      <c r="V29"/>
      <c r="W29"/>
      <c r="X29"/>
      <c r="Y29"/>
      <c r="Z29"/>
      <c r="AA29"/>
      <c r="AB29"/>
      <c r="AC29"/>
      <c r="AI29"/>
      <c r="AJ29"/>
      <c r="AK29"/>
      <c r="AL29"/>
      <c r="AM29"/>
      <c r="AN29"/>
      <c r="AO29"/>
      <c r="AP29"/>
      <c r="AQ29"/>
      <c r="AR29"/>
      <c r="AS29"/>
      <c r="AT29"/>
      <c r="AU29"/>
      <c r="AV29"/>
    </row>
    <row r="30" spans="2:48" ht="15.75">
      <c r="B30" t="s">
        <v>189</v>
      </c>
      <c r="F30" s="14">
        <v>10</v>
      </c>
      <c r="H30" s="5"/>
      <c r="I30" s="5"/>
      <c r="J30" s="5"/>
      <c r="K30"/>
      <c r="L30"/>
      <c r="M30"/>
      <c r="N30"/>
      <c r="O30"/>
      <c r="P30"/>
      <c r="Q30"/>
      <c r="R30"/>
      <c r="S30"/>
      <c r="T30"/>
      <c r="U30"/>
      <c r="V30"/>
      <c r="W30"/>
      <c r="X30"/>
      <c r="Y30"/>
      <c r="Z30"/>
      <c r="AA30"/>
      <c r="AB30"/>
      <c r="AC30"/>
      <c r="AI30"/>
      <c r="AJ30"/>
      <c r="AK30"/>
      <c r="AL30"/>
      <c r="AM30"/>
      <c r="AN30"/>
      <c r="AO30"/>
      <c r="AP30"/>
      <c r="AQ30"/>
      <c r="AR30"/>
      <c r="AS30"/>
      <c r="AT30"/>
      <c r="AU30"/>
      <c r="AV30"/>
    </row>
    <row r="31" spans="2:49" ht="51" customHeight="1">
      <c r="B31" s="44"/>
      <c r="C31" s="44"/>
      <c r="D31" s="44"/>
      <c r="E31" s="37"/>
      <c r="F31" s="37" t="s">
        <v>135</v>
      </c>
      <c r="G31" s="38"/>
      <c r="H31" s="38" t="s">
        <v>83</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row>
    <row r="32" spans="2:49" ht="15.75" customHeight="1">
      <c r="B32" s="44"/>
      <c r="C32" s="44"/>
      <c r="D32" s="44"/>
      <c r="E32" s="143" t="s">
        <v>188</v>
      </c>
      <c r="F32" s="38" t="s">
        <v>136</v>
      </c>
      <c r="G32" s="39"/>
      <c r="H32" s="38" t="s">
        <v>132</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row>
    <row r="33" spans="2:66" ht="15.75" hidden="1">
      <c r="B33" s="41"/>
      <c r="C33" s="41"/>
      <c r="D33" s="41"/>
      <c r="E33" s="41"/>
      <c r="F33" s="45"/>
      <c r="G33" s="41"/>
      <c r="H33" s="45"/>
      <c r="I33" s="5"/>
      <c r="J33" s="5"/>
      <c r="K33"/>
      <c r="L33" t="s">
        <v>105</v>
      </c>
      <c r="M33"/>
      <c r="N33"/>
      <c r="O33"/>
      <c r="P33" t="e">
        <f>1/(F21*F21)</f>
        <v>#DIV/0!</v>
      </c>
      <c r="Q33"/>
      <c r="R33"/>
      <c r="S33"/>
      <c r="T33"/>
      <c r="U33"/>
      <c r="V33"/>
      <c r="W33"/>
      <c r="X33"/>
      <c r="Y33"/>
      <c r="Z33"/>
      <c r="AA33"/>
      <c r="AB33"/>
      <c r="AC33"/>
      <c r="AD33"/>
      <c r="AE33"/>
      <c r="AF33"/>
      <c r="AG33"/>
      <c r="AH33"/>
      <c r="AI33"/>
      <c r="AJ33"/>
      <c r="AK33"/>
      <c r="AL33"/>
      <c r="AM33"/>
      <c r="AN33"/>
      <c r="AO33"/>
      <c r="AP33"/>
      <c r="AQ33"/>
      <c r="AR33"/>
      <c r="AS33"/>
      <c r="AT33"/>
      <c r="AU33"/>
      <c r="AV33"/>
      <c r="AW33"/>
      <c r="BN33" s="5"/>
    </row>
    <row r="34" spans="2:66" ht="15.75" hidden="1">
      <c r="B34" s="41"/>
      <c r="C34" s="41"/>
      <c r="D34" s="41"/>
      <c r="E34" s="41"/>
      <c r="F34" s="45"/>
      <c r="G34" s="41"/>
      <c r="H34" s="45"/>
      <c r="I34" s="5"/>
      <c r="J34" s="5"/>
      <c r="K34"/>
      <c r="L34" t="s">
        <v>106</v>
      </c>
      <c r="M34"/>
      <c r="N34"/>
      <c r="O34"/>
      <c r="P34" t="e">
        <f>F27/(100*F22^2)</f>
        <v>#DIV/0!</v>
      </c>
      <c r="Q34"/>
      <c r="R34"/>
      <c r="S34"/>
      <c r="T34"/>
      <c r="U34"/>
      <c r="V34"/>
      <c r="W34"/>
      <c r="X34"/>
      <c r="Y34"/>
      <c r="Z34"/>
      <c r="AA34"/>
      <c r="AB34"/>
      <c r="AC34"/>
      <c r="AD34"/>
      <c r="AE34"/>
      <c r="AF34"/>
      <c r="AG34"/>
      <c r="AH34"/>
      <c r="AI34"/>
      <c r="AJ34"/>
      <c r="AK34"/>
      <c r="AL34"/>
      <c r="AM34"/>
      <c r="AN34"/>
      <c r="AO34"/>
      <c r="AP34"/>
      <c r="AQ34"/>
      <c r="AR34"/>
      <c r="AS34"/>
      <c r="AT34"/>
      <c r="AU34"/>
      <c r="AV34"/>
      <c r="AW34"/>
      <c r="BN34" s="5"/>
    </row>
    <row r="35" spans="2:66" ht="15" customHeight="1">
      <c r="B35" s="41" t="s">
        <v>88</v>
      </c>
      <c r="C35" s="41"/>
      <c r="D35" s="41"/>
      <c r="E35" s="41"/>
      <c r="F35" s="45"/>
      <c r="G35" s="41"/>
      <c r="H35" s="48">
        <f>IF((1.5*LOG10($F$16*F11*$P35*$F$17/$F$13))&lt;0,0,1.5*LOG10($F$16*$F$11*$F$17*$P$35/$F$13))</f>
        <v>0</v>
      </c>
      <c r="I35" s="5"/>
      <c r="J35" s="5"/>
      <c r="K35"/>
      <c r="L35" t="s">
        <v>107</v>
      </c>
      <c r="M35"/>
      <c r="N35"/>
      <c r="O35"/>
      <c r="P35">
        <f>(0.000001+0.01*(F18/F24^2))*(F28/F23^2)</f>
        <v>1.3586856735776028E-08</v>
      </c>
      <c r="Q35"/>
      <c r="R35"/>
      <c r="S35"/>
      <c r="T35"/>
      <c r="U35"/>
      <c r="V35"/>
      <c r="W35"/>
      <c r="X35"/>
      <c r="Y35"/>
      <c r="Z35"/>
      <c r="AA35"/>
      <c r="AB35"/>
      <c r="AC35"/>
      <c r="AD35"/>
      <c r="AE35"/>
      <c r="AF35"/>
      <c r="AG35"/>
      <c r="AH35"/>
      <c r="AI35"/>
      <c r="AJ35"/>
      <c r="AK35"/>
      <c r="AL35"/>
      <c r="AM35"/>
      <c r="AN35"/>
      <c r="AO35"/>
      <c r="AP35"/>
      <c r="AQ35"/>
      <c r="AR35"/>
      <c r="AS35"/>
      <c r="AT35"/>
      <c r="AU35"/>
      <c r="AV35"/>
      <c r="AW35"/>
      <c r="BN35" s="5"/>
    </row>
    <row r="36" spans="2:66" ht="15.75" hidden="1">
      <c r="B36" s="41"/>
      <c r="C36" s="41"/>
      <c r="D36" s="41"/>
      <c r="E36" s="41"/>
      <c r="F36" s="45"/>
      <c r="G36" s="41"/>
      <c r="H36" s="45"/>
      <c r="I36" s="5"/>
      <c r="J36" s="5"/>
      <c r="K36"/>
      <c r="L36" t="s">
        <v>108</v>
      </c>
      <c r="M36"/>
      <c r="N36"/>
      <c r="O36"/>
      <c r="P36" t="e">
        <f>F18/(F25)^2</f>
        <v>#DIV/0!</v>
      </c>
      <c r="Q36"/>
      <c r="R36"/>
      <c r="S36"/>
      <c r="T36"/>
      <c r="U36"/>
      <c r="V36"/>
      <c r="W36"/>
      <c r="X36"/>
      <c r="Y36"/>
      <c r="Z36"/>
      <c r="AA36"/>
      <c r="AB36"/>
      <c r="AC36"/>
      <c r="AD36"/>
      <c r="AE36"/>
      <c r="AF36"/>
      <c r="AG36"/>
      <c r="AH36"/>
      <c r="AI36"/>
      <c r="AJ36"/>
      <c r="AK36"/>
      <c r="AL36"/>
      <c r="AM36"/>
      <c r="AN36"/>
      <c r="AO36"/>
      <c r="AP36"/>
      <c r="AQ36"/>
      <c r="AR36"/>
      <c r="AS36"/>
      <c r="AT36"/>
      <c r="AU36"/>
      <c r="AV36"/>
      <c r="AW36"/>
      <c r="BN36" s="5"/>
    </row>
    <row r="37" spans="2:66" ht="15.75" hidden="1">
      <c r="B37" s="41"/>
      <c r="C37" s="41"/>
      <c r="D37" s="41"/>
      <c r="E37" s="41"/>
      <c r="F37" s="45"/>
      <c r="G37" s="41"/>
      <c r="H37" s="45"/>
      <c r="I37" s="5"/>
      <c r="J37" s="5"/>
      <c r="K37"/>
      <c r="L37" t="s">
        <v>109</v>
      </c>
      <c r="M37"/>
      <c r="N37"/>
      <c r="O37"/>
      <c r="P37" s="31" t="e">
        <f>F20/F25</f>
        <v>#DIV/0!</v>
      </c>
      <c r="Q37"/>
      <c r="R37"/>
      <c r="S37"/>
      <c r="T37"/>
      <c r="U37"/>
      <c r="V37"/>
      <c r="W37"/>
      <c r="X37"/>
      <c r="Y37"/>
      <c r="Z37"/>
      <c r="AA37"/>
      <c r="AB37"/>
      <c r="AC37"/>
      <c r="AD37"/>
      <c r="AE37"/>
      <c r="AF37"/>
      <c r="AG37"/>
      <c r="AH37"/>
      <c r="AI37"/>
      <c r="AJ37"/>
      <c r="AK37"/>
      <c r="AL37"/>
      <c r="AM37"/>
      <c r="AN37"/>
      <c r="AO37"/>
      <c r="AP37"/>
      <c r="AQ37"/>
      <c r="AR37"/>
      <c r="AS37"/>
      <c r="AT37"/>
      <c r="AU37"/>
      <c r="AV37"/>
      <c r="AW37"/>
      <c r="BN37" s="5"/>
    </row>
    <row r="38" spans="2:66" ht="15" customHeight="1">
      <c r="B38" s="41" t="s">
        <v>85</v>
      </c>
      <c r="C38" s="41"/>
      <c r="D38" s="41"/>
      <c r="E38" s="149">
        <f>IF((IF(MAX(F14:F15)&lt;8,0,4.5*LOG10($F$16*$F$11*$F$17*$P$38*$F$30*10/$F$13)))&lt;0,0,IF(MAX(F14:F15)&lt;8,0,4.5*LOG10($F$16*$F$11*$F$17*$P$38*$F$30*10/$F$13)))</f>
        <v>6.900430174261405</v>
      </c>
      <c r="F38" s="48">
        <f>IF((IF(MAX(F14:F15)&lt;8,0,8*LOG10($F$16*$F$11*$F$17*$P$38*$F$30*10/$F$13)))&lt;0,0,IF(MAX(F14:F15)&lt;8,0,8*LOG10($F$16*$F$11*$F$17*$P$38*$F$30*10/$F$13)))</f>
        <v>12.267431420909165</v>
      </c>
      <c r="G38" s="41"/>
      <c r="H38" s="45"/>
      <c r="I38" s="5"/>
      <c r="J38" s="5"/>
      <c r="K38"/>
      <c r="L38" t="s">
        <v>110</v>
      </c>
      <c r="M38"/>
      <c r="N38"/>
      <c r="O38"/>
      <c r="P38">
        <f>IF(F29="",0,0.1*F20*F29/F26)</f>
        <v>8.196721311475409E-08</v>
      </c>
      <c r="Q38"/>
      <c r="R38"/>
      <c r="S38"/>
      <c r="T38"/>
      <c r="U38"/>
      <c r="V38"/>
      <c r="W38"/>
      <c r="X38"/>
      <c r="Y38"/>
      <c r="Z38"/>
      <c r="AA38"/>
      <c r="AB38"/>
      <c r="AC38"/>
      <c r="AD38"/>
      <c r="AE38"/>
      <c r="AF38"/>
      <c r="AG38"/>
      <c r="AH38"/>
      <c r="AI38"/>
      <c r="AJ38"/>
      <c r="AK38"/>
      <c r="AL38"/>
      <c r="AM38"/>
      <c r="AN38"/>
      <c r="AO38"/>
      <c r="AP38"/>
      <c r="AQ38"/>
      <c r="AR38"/>
      <c r="AS38"/>
      <c r="AT38"/>
      <c r="AU38"/>
      <c r="AV38"/>
      <c r="AW38"/>
      <c r="BN38" s="5"/>
    </row>
    <row r="39" spans="2:66" ht="15.75" hidden="1">
      <c r="B39" s="39"/>
      <c r="C39" s="39"/>
      <c r="D39" s="39"/>
      <c r="E39" s="39"/>
      <c r="F39" s="42"/>
      <c r="H39" s="42"/>
      <c r="I39" s="5"/>
      <c r="J39" s="5"/>
      <c r="K39"/>
      <c r="L39" t="s">
        <v>104</v>
      </c>
      <c r="M39"/>
      <c r="N39"/>
      <c r="O39"/>
      <c r="P39" t="e">
        <f>(F19+AJ27)/F21^2</f>
        <v>#N/A</v>
      </c>
      <c r="Q39"/>
      <c r="R39"/>
      <c r="S39" s="32">
        <f>ROUND(F39,0)</f>
        <v>0</v>
      </c>
      <c r="T39" s="33">
        <f>T33</f>
        <v>0</v>
      </c>
      <c r="U39" s="32" t="e">
        <f>SMALL($S$33:$S$39,7)</f>
        <v>#NUM!</v>
      </c>
      <c r="V39" s="32" t="e">
        <f>VLOOKUP(U39,$S$33:$T$39,2,FALSE)</f>
        <v>#NUM!</v>
      </c>
      <c r="W39" s="32" t="e">
        <f aca="true" t="shared" si="0" ref="W39:AF39">U39</f>
        <v>#NUM!</v>
      </c>
      <c r="X39" s="32" t="e">
        <f t="shared" si="0"/>
        <v>#NUM!</v>
      </c>
      <c r="Y39" s="32" t="e">
        <f t="shared" si="0"/>
        <v>#NUM!</v>
      </c>
      <c r="Z39" s="32" t="e">
        <f t="shared" si="0"/>
        <v>#NUM!</v>
      </c>
      <c r="AA39" s="32" t="e">
        <f t="shared" si="0"/>
        <v>#NUM!</v>
      </c>
      <c r="AB39" s="32" t="e">
        <f t="shared" si="0"/>
        <v>#NUM!</v>
      </c>
      <c r="AC39" s="32" t="e">
        <f t="shared" si="0"/>
        <v>#NUM!</v>
      </c>
      <c r="AD39" s="32" t="e">
        <f t="shared" si="0"/>
        <v>#NUM!</v>
      </c>
      <c r="AE39" s="35" t="e">
        <f t="shared" si="0"/>
        <v>#NUM!</v>
      </c>
      <c r="AF39" s="35" t="e">
        <f t="shared" si="0"/>
        <v>#NUM!</v>
      </c>
      <c r="AG39" s="34" t="e">
        <f>IF(AE39-AE38&gt;AF38,AE39,IF(AE39-AE38&lt;0.3*AF38,AE39+0.3*AF38,IF(AE39-AE38&lt;0.6,AE39+0.2*AF38,AE39+0.1*AF38)))</f>
        <v>#NUM!</v>
      </c>
      <c r="AI39"/>
      <c r="AJ39" s="32">
        <f>G39</f>
        <v>0</v>
      </c>
      <c r="AK39">
        <f>AK33</f>
        <v>0</v>
      </c>
      <c r="AL39" s="32" t="e">
        <f>SMALL(AJ33:AJ39,7)</f>
        <v>#NUM!</v>
      </c>
      <c r="AM39" s="32" t="e">
        <f>VLOOKUP(AL39,$AJ$33:$AK$39,2,FALSE)</f>
        <v>#NUM!</v>
      </c>
      <c r="AN39" s="32" t="e">
        <f aca="true" t="shared" si="1" ref="AN39:AW39">AL39</f>
        <v>#NUM!</v>
      </c>
      <c r="AO39" s="32" t="e">
        <f t="shared" si="1"/>
        <v>#NUM!</v>
      </c>
      <c r="AP39" s="32" t="e">
        <f t="shared" si="1"/>
        <v>#NUM!</v>
      </c>
      <c r="AQ39" s="32" t="e">
        <f t="shared" si="1"/>
        <v>#NUM!</v>
      </c>
      <c r="AR39" s="32" t="e">
        <f t="shared" si="1"/>
        <v>#NUM!</v>
      </c>
      <c r="AS39" s="32" t="e">
        <f t="shared" si="1"/>
        <v>#NUM!</v>
      </c>
      <c r="AT39" s="32" t="e">
        <f t="shared" si="1"/>
        <v>#NUM!</v>
      </c>
      <c r="AU39" s="32" t="e">
        <f t="shared" si="1"/>
        <v>#NUM!</v>
      </c>
      <c r="AV39" s="35" t="e">
        <f t="shared" si="1"/>
        <v>#NUM!</v>
      </c>
      <c r="AW39" s="35" t="e">
        <f t="shared" si="1"/>
        <v>#NUM!</v>
      </c>
      <c r="AX39" s="34" t="e">
        <f>IF(AV39-AV38&gt;AW38,AV39,IF(AV39-AV38&lt;0.3*AW38,AV39+0.3*AW38,IF(AV39-AV38&lt;0.6,AV39+0.2*AW38,AV39+0.1*AW38)))</f>
        <v>#NUM!</v>
      </c>
      <c r="AZ39" s="32">
        <f>H39</f>
        <v>0</v>
      </c>
      <c r="BA39">
        <f>BA33</f>
        <v>0</v>
      </c>
      <c r="BB39" s="32" t="e">
        <f>SMALL(AZ33:AZ39,7)</f>
        <v>#NUM!</v>
      </c>
      <c r="BC39" s="32" t="e">
        <f>VLOOKUP(BB39,$AZ$33:$BA$39,2,FALSE)</f>
        <v>#NUM!</v>
      </c>
      <c r="BD39" s="32" t="e">
        <f aca="true" t="shared" si="2" ref="BD39:BM39">BB39</f>
        <v>#NUM!</v>
      </c>
      <c r="BE39" s="32" t="e">
        <f t="shared" si="2"/>
        <v>#NUM!</v>
      </c>
      <c r="BF39" s="32" t="e">
        <f t="shared" si="2"/>
        <v>#NUM!</v>
      </c>
      <c r="BG39" s="32" t="e">
        <f t="shared" si="2"/>
        <v>#NUM!</v>
      </c>
      <c r="BH39" s="32" t="e">
        <f t="shared" si="2"/>
        <v>#NUM!</v>
      </c>
      <c r="BI39" s="32" t="e">
        <f t="shared" si="2"/>
        <v>#NUM!</v>
      </c>
      <c r="BJ39" s="32" t="e">
        <f t="shared" si="2"/>
        <v>#NUM!</v>
      </c>
      <c r="BK39" s="32" t="e">
        <f t="shared" si="2"/>
        <v>#NUM!</v>
      </c>
      <c r="BL39" s="35" t="e">
        <f t="shared" si="2"/>
        <v>#NUM!</v>
      </c>
      <c r="BM39" s="35" t="e">
        <f t="shared" si="2"/>
        <v>#NUM!</v>
      </c>
      <c r="BN39" s="34" t="e">
        <f>IF(BL39-BL38&gt;BM38,BL39,IF(BL39-BL38&lt;0.3*BM38,BL39+0.3*BM38,IF(BL39-BL38&lt;0.6,BL39+0.2*BM38,BL39+0.1*BM38)))</f>
        <v>#NUM!</v>
      </c>
    </row>
    <row r="40" spans="2:48" ht="15.75">
      <c r="B40" s="39"/>
      <c r="C40" s="39"/>
      <c r="D40" s="39"/>
      <c r="E40" s="39"/>
      <c r="H40" s="40"/>
      <c r="I40" s="5"/>
      <c r="J40" s="5"/>
      <c r="K40"/>
      <c r="L40"/>
      <c r="M40"/>
      <c r="N40"/>
      <c r="O40"/>
      <c r="P40"/>
      <c r="Q40"/>
      <c r="R40"/>
      <c r="S40"/>
      <c r="T40"/>
      <c r="U40"/>
      <c r="V40"/>
      <c r="W40"/>
      <c r="X40"/>
      <c r="Y40"/>
      <c r="Z40"/>
      <c r="AA40"/>
      <c r="AB40"/>
      <c r="AC40"/>
      <c r="AI40"/>
      <c r="AJ40"/>
      <c r="AK40"/>
      <c r="AL40"/>
      <c r="AM40"/>
      <c r="AN40"/>
      <c r="AO40"/>
      <c r="AP40"/>
      <c r="AQ40"/>
      <c r="AR40"/>
      <c r="AS40"/>
      <c r="AT40"/>
      <c r="AU40"/>
      <c r="AV40"/>
    </row>
    <row r="41" spans="2:48" ht="15.75" hidden="1">
      <c r="B41" s="41"/>
      <c r="C41" s="41"/>
      <c r="D41" s="41"/>
      <c r="E41" s="39"/>
      <c r="F41" s="43"/>
      <c r="H41" s="43"/>
      <c r="AI41"/>
      <c r="AJ41"/>
      <c r="AK41"/>
      <c r="AL41"/>
      <c r="AM41"/>
      <c r="AN41"/>
      <c r="AO41"/>
      <c r="AP41"/>
      <c r="AQ41"/>
      <c r="AR41"/>
      <c r="AS41"/>
      <c r="AT41"/>
      <c r="AU41"/>
      <c r="AV41"/>
    </row>
    <row r="42" spans="35:48" ht="15.75" hidden="1">
      <c r="AI42"/>
      <c r="AJ42"/>
      <c r="AK42"/>
      <c r="AL42"/>
      <c r="AM42"/>
      <c r="AN42"/>
      <c r="AO42"/>
      <c r="AP42"/>
      <c r="AQ42"/>
      <c r="AR42"/>
      <c r="AS42"/>
      <c r="AT42"/>
      <c r="AU42"/>
      <c r="AV42"/>
    </row>
    <row r="43" spans="35:48" ht="15.75" hidden="1">
      <c r="AI43"/>
      <c r="AJ43"/>
      <c r="AK43"/>
      <c r="AL43"/>
      <c r="AM43"/>
      <c r="AN43"/>
      <c r="AO43"/>
      <c r="AP43"/>
      <c r="AQ43"/>
      <c r="AR43"/>
      <c r="AS43"/>
      <c r="AT43"/>
      <c r="AU43"/>
      <c r="AV43"/>
    </row>
    <row r="44" spans="35:48" ht="15.75" hidden="1">
      <c r="AI44"/>
      <c r="AJ44"/>
      <c r="AK44"/>
      <c r="AL44"/>
      <c r="AM44"/>
      <c r="AN44"/>
      <c r="AO44"/>
      <c r="AP44"/>
      <c r="AQ44"/>
      <c r="AR44"/>
      <c r="AS44"/>
      <c r="AT44"/>
      <c r="AU44"/>
      <c r="AV44"/>
    </row>
    <row r="45" spans="35:48" ht="15.75" hidden="1">
      <c r="AI45"/>
      <c r="AJ45"/>
      <c r="AK45"/>
      <c r="AL45"/>
      <c r="AM45"/>
      <c r="AN45"/>
      <c r="AO45"/>
      <c r="AP45"/>
      <c r="AQ45"/>
      <c r="AR45"/>
      <c r="AS45"/>
      <c r="AT45"/>
      <c r="AU45"/>
      <c r="AV45"/>
    </row>
    <row r="46" spans="35:48" ht="15.75" hidden="1">
      <c r="AI46"/>
      <c r="AJ46"/>
      <c r="AK46"/>
      <c r="AL46"/>
      <c r="AM46"/>
      <c r="AN46"/>
      <c r="AO46"/>
      <c r="AP46"/>
      <c r="AQ46"/>
      <c r="AR46"/>
      <c r="AS46"/>
      <c r="AT46"/>
      <c r="AU46"/>
      <c r="AV46"/>
    </row>
    <row r="47" spans="35:48" ht="15.75" hidden="1">
      <c r="AI47"/>
      <c r="AJ47"/>
      <c r="AK47"/>
      <c r="AL47"/>
      <c r="AM47"/>
      <c r="AN47"/>
      <c r="AO47"/>
      <c r="AP47"/>
      <c r="AQ47"/>
      <c r="AR47"/>
      <c r="AS47"/>
      <c r="AT47"/>
      <c r="AU47"/>
      <c r="AV47"/>
    </row>
    <row r="48" spans="35:48" ht="15.75" hidden="1">
      <c r="AI48"/>
      <c r="AJ48"/>
      <c r="AK48"/>
      <c r="AL48"/>
      <c r="AM48"/>
      <c r="AN48"/>
      <c r="AO48"/>
      <c r="AP48"/>
      <c r="AQ48"/>
      <c r="AR48"/>
      <c r="AS48"/>
      <c r="AT48"/>
      <c r="AU48"/>
      <c r="AV48"/>
    </row>
    <row r="49" spans="35:48" ht="15.75" hidden="1">
      <c r="AI49"/>
      <c r="AJ49"/>
      <c r="AK49"/>
      <c r="AL49"/>
      <c r="AM49"/>
      <c r="AN49"/>
      <c r="AO49"/>
      <c r="AP49"/>
      <c r="AQ49"/>
      <c r="AR49"/>
      <c r="AS49"/>
      <c r="AT49"/>
      <c r="AU49"/>
      <c r="AV49"/>
    </row>
    <row r="50" spans="35:48" ht="15.75" hidden="1">
      <c r="AI50"/>
      <c r="AJ50"/>
      <c r="AK50"/>
      <c r="AL50"/>
      <c r="AM50"/>
      <c r="AN50"/>
      <c r="AO50"/>
      <c r="AP50"/>
      <c r="AQ50"/>
      <c r="AR50"/>
      <c r="AS50"/>
      <c r="AT50"/>
      <c r="AU50"/>
      <c r="AV50"/>
    </row>
    <row r="51" spans="35:48" ht="15.75" hidden="1">
      <c r="AI51"/>
      <c r="AJ51"/>
      <c r="AK51"/>
      <c r="AL51"/>
      <c r="AM51"/>
      <c r="AN51"/>
      <c r="AO51"/>
      <c r="AP51"/>
      <c r="AQ51"/>
      <c r="AR51"/>
      <c r="AS51"/>
      <c r="AT51"/>
      <c r="AU51"/>
      <c r="AV51"/>
    </row>
    <row r="52" spans="35:48" ht="15.75" hidden="1">
      <c r="AI52"/>
      <c r="AJ52"/>
      <c r="AK52"/>
      <c r="AL52"/>
      <c r="AM52"/>
      <c r="AN52"/>
      <c r="AO52"/>
      <c r="AP52"/>
      <c r="AQ52"/>
      <c r="AR52"/>
      <c r="AS52"/>
      <c r="AT52"/>
      <c r="AU52"/>
      <c r="AV52"/>
    </row>
    <row r="53" ht="15.75" hidden="1"/>
    <row r="54" ht="15.75" hidden="1"/>
    <row r="55" ht="15.75" hidden="1"/>
    <row r="56" ht="15.75" hidden="1"/>
    <row r="57" ht="15.75" hidden="1"/>
    <row r="58" ht="15.75" hidden="1"/>
    <row r="59" ht="15.75" hidden="1"/>
    <row r="60" ht="15.75" hidden="1"/>
    <row r="61" ht="15.75" hidden="1"/>
    <row r="62" ht="15.75" hidden="1"/>
    <row r="63" ht="15.75" hidden="1"/>
    <row r="64" ht="15.75" hidden="1"/>
    <row r="65" ht="15.75" hidden="1"/>
    <row r="66" ht="15.75" hidden="1"/>
    <row r="67" ht="15.75" hidden="1"/>
    <row r="68" ht="15.75" hidden="1"/>
    <row r="69" ht="15.75" hidden="1"/>
  </sheetData>
  <sheetProtection password="CC3B" sheet="1" objects="1" scenarios="1"/>
  <mergeCells count="18">
    <mergeCell ref="H4:I4"/>
    <mergeCell ref="H5:I5"/>
    <mergeCell ref="H6:I6"/>
    <mergeCell ref="B13:D13"/>
    <mergeCell ref="F5:G5"/>
    <mergeCell ref="C4:D4"/>
    <mergeCell ref="C5:D5"/>
    <mergeCell ref="F6:G6"/>
    <mergeCell ref="B9:D9"/>
    <mergeCell ref="B21:D21"/>
    <mergeCell ref="B15:D15"/>
    <mergeCell ref="B18:D18"/>
    <mergeCell ref="B16:D16"/>
    <mergeCell ref="B2:G2"/>
    <mergeCell ref="B17:D17"/>
    <mergeCell ref="B10:D10"/>
    <mergeCell ref="B11:D11"/>
    <mergeCell ref="B12:D12"/>
  </mergeCells>
  <printOptions/>
  <pageMargins left="0.25" right="0.25" top="0.65" bottom="1" header="0" footer="0"/>
  <pageSetup horizontalDpi="300" verticalDpi="300" orientation="portrait" r:id="rId3"/>
  <legacyDrawing r:id="rId2"/>
</worksheet>
</file>

<file path=xl/worksheets/sheet8.xml><?xml version="1.0" encoding="utf-8"?>
<worksheet xmlns="http://schemas.openxmlformats.org/spreadsheetml/2006/main" xmlns:r="http://schemas.openxmlformats.org/officeDocument/2006/relationships">
  <sheetPr codeName="Hoja9"/>
  <dimension ref="A1:BN52"/>
  <sheetViews>
    <sheetView showGridLines="0" showRowColHeaders="0" zoomScaleSheetLayoutView="100" workbookViewId="0" topLeftCell="A1">
      <selection activeCell="G22" sqref="G22"/>
    </sheetView>
  </sheetViews>
  <sheetFormatPr defaultColWidth="11.00390625" defaultRowHeight="15.75"/>
  <cols>
    <col min="1" max="1" width="4.625" style="2" customWidth="1"/>
    <col min="4" max="4" width="13.875" style="0" customWidth="1"/>
    <col min="5" max="5" width="4.25390625" style="0" customWidth="1"/>
    <col min="6" max="6" width="10.875" style="0" customWidth="1"/>
    <col min="7" max="7" width="16.875" style="0" customWidth="1"/>
    <col min="8" max="8" width="9.75390625" style="0" customWidth="1"/>
    <col min="9" max="9" width="8.75390625" style="0" customWidth="1"/>
    <col min="10" max="10" width="8.00390625" style="0" hidden="1" customWidth="1"/>
    <col min="11" max="11" width="5.625" style="5" hidden="1" customWidth="1"/>
    <col min="12" max="12" width="9.125" style="5" hidden="1" customWidth="1"/>
    <col min="13" max="14" width="5.625" style="5" hidden="1" customWidth="1"/>
    <col min="15" max="15" width="7.25390625" style="5" hidden="1" customWidth="1"/>
    <col min="16" max="16" width="7.375" style="5" hidden="1" customWidth="1"/>
    <col min="17" max="30" width="5.625" style="5" hidden="1" customWidth="1"/>
    <col min="31" max="31" width="5.00390625" style="5" hidden="1" customWidth="1"/>
    <col min="32" max="32" width="5.625" style="5" hidden="1" customWidth="1"/>
    <col min="33" max="33" width="7.25390625" style="5" hidden="1" customWidth="1"/>
    <col min="34" max="34" width="7.00390625" style="5" hidden="1" customWidth="1"/>
    <col min="35" max="35" width="6.25390625" style="5" hidden="1" customWidth="1"/>
    <col min="36" max="36" width="6.625" style="5" hidden="1" customWidth="1"/>
    <col min="37" max="37" width="6.50390625" style="5" hidden="1" customWidth="1"/>
    <col min="38" max="38" width="6.375" style="5" hidden="1" customWidth="1"/>
    <col min="39" max="39" width="7.125" style="5" customWidth="1"/>
    <col min="40" max="40" width="5.625" style="5" customWidth="1"/>
    <col min="41" max="41" width="6.125" style="5" customWidth="1"/>
    <col min="42" max="42" width="6.25390625" style="5" customWidth="1"/>
    <col min="43" max="43" width="6.75390625" style="5" customWidth="1"/>
    <col min="44" max="44" width="6.375" style="5" customWidth="1"/>
    <col min="45" max="45" width="6.75390625" style="5" customWidth="1"/>
    <col min="46" max="46" width="3.75390625" style="5" customWidth="1"/>
    <col min="47" max="47" width="6.125" style="5" customWidth="1"/>
    <col min="48" max="48" width="6.50390625" style="5" customWidth="1"/>
    <col min="49" max="49" width="6.375" style="5" customWidth="1"/>
    <col min="50" max="50" width="6.375" style="0" customWidth="1"/>
    <col min="51" max="51" width="9.50390625" style="0" customWidth="1"/>
    <col min="52" max="52" width="5.25390625" style="0" customWidth="1"/>
    <col min="53" max="53" width="7.375" style="0" customWidth="1"/>
    <col min="54" max="54" width="5.875" style="0" customWidth="1"/>
    <col min="55" max="55" width="6.375" style="0" customWidth="1"/>
    <col min="56" max="56" width="6.875" style="0" customWidth="1"/>
    <col min="57" max="57" width="7.625" style="0" customWidth="1"/>
    <col min="58" max="58" width="4.625" style="0" customWidth="1"/>
    <col min="59" max="59" width="7.75390625" style="0" customWidth="1"/>
    <col min="60" max="60" width="5.00390625" style="0" customWidth="1"/>
    <col min="61" max="61" width="7.25390625" style="0" customWidth="1"/>
    <col min="62" max="62" width="7.125" style="0" customWidth="1"/>
    <col min="63" max="63" width="7.625" style="0" customWidth="1"/>
    <col min="64" max="64" width="6.625" style="0" customWidth="1"/>
    <col min="65" max="65" width="6.25390625" style="0" customWidth="1"/>
    <col min="66" max="66" width="6.75390625" style="0" customWidth="1"/>
    <col min="67" max="67" width="0.12890625" style="0" customWidth="1"/>
  </cols>
  <sheetData>
    <row r="1" spans="8:30" ht="21.75" customHeight="1">
      <c r="H1" s="5"/>
      <c r="I1" s="5"/>
      <c r="K1" s="8"/>
      <c r="L1" s="8" t="s">
        <v>123</v>
      </c>
      <c r="M1" s="8"/>
      <c r="N1" s="8"/>
      <c r="O1" s="8"/>
      <c r="P1" s="8"/>
      <c r="Q1" s="8"/>
      <c r="R1" s="8"/>
      <c r="S1" s="8"/>
      <c r="T1" s="8"/>
      <c r="U1" s="8"/>
      <c r="V1" s="8"/>
      <c r="W1" s="8"/>
      <c r="X1" s="8"/>
      <c r="Y1" s="8"/>
      <c r="Z1" s="8"/>
      <c r="AA1" s="8"/>
      <c r="AB1" s="8"/>
      <c r="AC1" s="8"/>
      <c r="AD1" s="8"/>
    </row>
    <row r="2" spans="1:36" ht="15.75">
      <c r="A2" s="154" t="s">
        <v>183</v>
      </c>
      <c r="B2" s="154"/>
      <c r="C2" s="154"/>
      <c r="D2" s="154"/>
      <c r="E2" s="154"/>
      <c r="F2" s="154"/>
      <c r="G2" s="154"/>
      <c r="H2" s="154"/>
      <c r="I2" s="5"/>
      <c r="K2" s="8" t="s">
        <v>16</v>
      </c>
      <c r="L2" s="8"/>
      <c r="M2" s="8">
        <v>1</v>
      </c>
      <c r="N2" s="8">
        <v>2</v>
      </c>
      <c r="O2" s="8">
        <v>3</v>
      </c>
      <c r="P2" s="8">
        <v>4</v>
      </c>
      <c r="Q2" s="8">
        <v>5</v>
      </c>
      <c r="R2" s="8">
        <v>6</v>
      </c>
      <c r="S2" s="8">
        <v>7</v>
      </c>
      <c r="T2" s="8">
        <v>8</v>
      </c>
      <c r="U2" s="8">
        <v>9</v>
      </c>
      <c r="V2" s="8">
        <v>10</v>
      </c>
      <c r="W2" s="8">
        <v>11</v>
      </c>
      <c r="X2" s="8">
        <v>12</v>
      </c>
      <c r="Y2" s="8">
        <v>13</v>
      </c>
      <c r="Z2" s="8">
        <v>14</v>
      </c>
      <c r="AA2" s="8">
        <v>15</v>
      </c>
      <c r="AB2" s="8">
        <v>16</v>
      </c>
      <c r="AC2" s="8">
        <v>17</v>
      </c>
      <c r="AD2" s="8">
        <v>18</v>
      </c>
      <c r="AH2" s="5" t="s">
        <v>97</v>
      </c>
      <c r="AI2" s="5" t="s">
        <v>98</v>
      </c>
      <c r="AJ2" s="5" t="s">
        <v>95</v>
      </c>
    </row>
    <row r="3" spans="2:35" ht="15.75">
      <c r="B3" s="16"/>
      <c r="C3" s="16"/>
      <c r="D3" s="16"/>
      <c r="E3" s="16"/>
      <c r="F3" s="16"/>
      <c r="H3" s="7"/>
      <c r="I3" s="7"/>
      <c r="K3" s="8">
        <v>1</v>
      </c>
      <c r="L3" s="9" t="s">
        <v>94</v>
      </c>
      <c r="M3" s="9">
        <v>1</v>
      </c>
      <c r="N3" s="9">
        <v>2</v>
      </c>
      <c r="O3" s="9">
        <v>3</v>
      </c>
      <c r="P3" s="9">
        <v>4</v>
      </c>
      <c r="Q3" s="9">
        <v>5</v>
      </c>
      <c r="R3" s="9">
        <v>6</v>
      </c>
      <c r="S3" s="9">
        <v>7</v>
      </c>
      <c r="T3" s="9">
        <v>8</v>
      </c>
      <c r="U3" s="9">
        <v>9</v>
      </c>
      <c r="V3" s="9">
        <v>10</v>
      </c>
      <c r="W3" s="9">
        <v>14</v>
      </c>
      <c r="X3" s="9">
        <v>18</v>
      </c>
      <c r="Y3" s="9">
        <v>20</v>
      </c>
      <c r="Z3" s="9">
        <v>23</v>
      </c>
      <c r="AA3" s="6">
        <v>25</v>
      </c>
      <c r="AB3" s="9">
        <v>30</v>
      </c>
      <c r="AC3" s="9">
        <v>40</v>
      </c>
      <c r="AD3" s="9">
        <v>50</v>
      </c>
      <c r="AG3" s="5" t="s">
        <v>16</v>
      </c>
      <c r="AH3" s="5">
        <f>LOOKUP(F14,M3:AD3,M2:AD2)</f>
        <v>12</v>
      </c>
      <c r="AI3" s="5">
        <f>AH3+1</f>
        <v>13</v>
      </c>
    </row>
    <row r="4" spans="2:35" ht="15.75">
      <c r="B4" t="s">
        <v>17</v>
      </c>
      <c r="C4" s="166"/>
      <c r="D4" s="166"/>
      <c r="E4" s="16"/>
      <c r="F4" s="12" t="s">
        <v>9</v>
      </c>
      <c r="G4" s="12"/>
      <c r="H4" s="162"/>
      <c r="I4" s="162"/>
      <c r="K4" s="8">
        <v>2</v>
      </c>
      <c r="L4" s="10" t="s">
        <v>93</v>
      </c>
      <c r="M4" s="9">
        <v>13.9</v>
      </c>
      <c r="N4" s="9">
        <v>18.8</v>
      </c>
      <c r="O4" s="6">
        <v>22.6</v>
      </c>
      <c r="P4" s="9">
        <v>26.95</v>
      </c>
      <c r="Q4" s="9">
        <v>30</v>
      </c>
      <c r="R4" s="9">
        <v>32.6</v>
      </c>
      <c r="S4" s="9">
        <v>34.6</v>
      </c>
      <c r="T4" s="9">
        <v>36.1</v>
      </c>
      <c r="U4" s="9">
        <v>37.8</v>
      </c>
      <c r="V4" s="9">
        <v>39</v>
      </c>
      <c r="W4" s="9">
        <v>42</v>
      </c>
      <c r="X4" s="9">
        <v>44.35</v>
      </c>
      <c r="Y4" s="9">
        <v>45.2</v>
      </c>
      <c r="Z4" s="9">
        <v>46.3</v>
      </c>
      <c r="AA4" s="9">
        <v>46.7</v>
      </c>
      <c r="AB4" s="9">
        <v>47.8</v>
      </c>
      <c r="AC4" s="9">
        <v>49.1</v>
      </c>
      <c r="AD4" s="9">
        <v>50</v>
      </c>
      <c r="AG4" s="5" t="s">
        <v>96</v>
      </c>
      <c r="AH4" s="5">
        <f>LOOKUP(AH3,M2:AD2,M3:AD3)</f>
        <v>18</v>
      </c>
      <c r="AI4" s="5">
        <f>LOOKUP(AI3,M2:AD2,M3:AD3)</f>
        <v>20</v>
      </c>
    </row>
    <row r="5" spans="2:36" ht="15.75">
      <c r="B5" t="s">
        <v>19</v>
      </c>
      <c r="C5" s="167"/>
      <c r="D5" s="167"/>
      <c r="E5" s="16"/>
      <c r="F5" s="168" t="s">
        <v>10</v>
      </c>
      <c r="G5" s="168"/>
      <c r="H5" s="169"/>
      <c r="I5" s="169"/>
      <c r="AG5" s="5" t="s">
        <v>99</v>
      </c>
      <c r="AH5" s="5">
        <f>LOOKUP(AH4,M3:AD3,M4:AD4)</f>
        <v>44.35</v>
      </c>
      <c r="AI5" s="5">
        <f>LOOKUP(AI4,M3:AD3,M4:AD4)</f>
        <v>45.2</v>
      </c>
      <c r="AJ5" s="5">
        <f>((AI5-AH5)/(AI4-AH4))*(F14-AH4)+AH5</f>
        <v>44.35</v>
      </c>
    </row>
    <row r="6" spans="2:9" ht="15.75">
      <c r="B6" t="s">
        <v>18</v>
      </c>
      <c r="C6" s="20"/>
      <c r="D6" s="21"/>
      <c r="E6" s="16"/>
      <c r="F6" s="168" t="s">
        <v>11</v>
      </c>
      <c r="G6" s="168"/>
      <c r="H6" s="169"/>
      <c r="I6" s="169"/>
    </row>
    <row r="7" spans="2:29" ht="15.75">
      <c r="B7" s="17"/>
      <c r="C7" s="17"/>
      <c r="D7" s="17"/>
      <c r="E7" s="16"/>
      <c r="F7" s="16"/>
      <c r="H7" s="5"/>
      <c r="I7" s="5"/>
      <c r="L7"/>
      <c r="M7"/>
      <c r="N7"/>
      <c r="O7"/>
      <c r="P7"/>
      <c r="Q7"/>
      <c r="R7"/>
      <c r="S7"/>
      <c r="T7"/>
      <c r="U7"/>
      <c r="V7"/>
      <c r="W7"/>
      <c r="X7"/>
      <c r="Y7"/>
      <c r="Z7"/>
      <c r="AA7"/>
      <c r="AB7"/>
      <c r="AC7"/>
    </row>
    <row r="8" spans="4:30" ht="14.25" customHeight="1">
      <c r="D8" s="51"/>
      <c r="E8" s="51"/>
      <c r="F8" s="16"/>
      <c r="H8" s="5"/>
      <c r="I8" s="5"/>
      <c r="K8" s="8"/>
      <c r="L8" s="8" t="s">
        <v>124</v>
      </c>
      <c r="M8" s="8"/>
      <c r="N8" s="8"/>
      <c r="O8" s="8"/>
      <c r="P8" s="8"/>
      <c r="Q8" s="8"/>
      <c r="R8" s="8"/>
      <c r="S8" s="8"/>
      <c r="T8" s="8"/>
      <c r="U8" s="8"/>
      <c r="V8" s="8"/>
      <c r="W8" s="8"/>
      <c r="X8" s="8"/>
      <c r="Y8" s="8"/>
      <c r="Z8" s="8"/>
      <c r="AA8" s="8"/>
      <c r="AB8" s="8"/>
      <c r="AC8" s="8"/>
      <c r="AD8" s="8"/>
    </row>
    <row r="9" spans="2:48" ht="15.75">
      <c r="B9" s="170" t="s">
        <v>68</v>
      </c>
      <c r="C9" s="170"/>
      <c r="D9" s="170"/>
      <c r="E9" s="11"/>
      <c r="F9" s="11" t="s">
        <v>14</v>
      </c>
      <c r="H9" s="5"/>
      <c r="I9" s="5"/>
      <c r="K9" s="8" t="s">
        <v>16</v>
      </c>
      <c r="L9" s="8"/>
      <c r="M9" s="8">
        <v>1</v>
      </c>
      <c r="N9" s="8">
        <v>2</v>
      </c>
      <c r="O9" s="8">
        <v>3</v>
      </c>
      <c r="P9" s="8">
        <v>4</v>
      </c>
      <c r="Q9" s="8">
        <v>5</v>
      </c>
      <c r="R9" s="8">
        <v>6</v>
      </c>
      <c r="S9" s="8">
        <v>7</v>
      </c>
      <c r="T9" s="8">
        <v>8</v>
      </c>
      <c r="U9" s="8">
        <v>9</v>
      </c>
      <c r="V9" s="8">
        <v>10</v>
      </c>
      <c r="W9" s="8">
        <v>11</v>
      </c>
      <c r="X9" s="8">
        <v>12</v>
      </c>
      <c r="Y9" s="8">
        <v>13</v>
      </c>
      <c r="Z9" s="8">
        <v>14</v>
      </c>
      <c r="AA9" s="8">
        <v>15</v>
      </c>
      <c r="AB9" s="8">
        <v>16</v>
      </c>
      <c r="AC9" s="8">
        <v>17</v>
      </c>
      <c r="AD9" s="8">
        <v>18</v>
      </c>
      <c r="AH9" s="5" t="s">
        <v>97</v>
      </c>
      <c r="AI9" s="5" t="s">
        <v>98</v>
      </c>
      <c r="AJ9" s="5" t="s">
        <v>95</v>
      </c>
      <c r="AK9"/>
      <c r="AL9"/>
      <c r="AM9"/>
      <c r="AN9"/>
      <c r="AO9"/>
      <c r="AP9"/>
      <c r="AQ9"/>
      <c r="AR9"/>
      <c r="AS9"/>
      <c r="AT9"/>
      <c r="AU9"/>
      <c r="AV9"/>
    </row>
    <row r="10" spans="2:48" ht="19.5" customHeight="1">
      <c r="B10" s="168" t="s">
        <v>112</v>
      </c>
      <c r="C10" s="168"/>
      <c r="D10" s="168"/>
      <c r="F10" s="13">
        <v>0.25</v>
      </c>
      <c r="H10" s="5"/>
      <c r="I10" s="5"/>
      <c r="K10" s="8">
        <v>1</v>
      </c>
      <c r="L10" s="9" t="s">
        <v>94</v>
      </c>
      <c r="M10" s="9">
        <v>1</v>
      </c>
      <c r="N10" s="9">
        <v>2</v>
      </c>
      <c r="O10" s="9">
        <v>3</v>
      </c>
      <c r="P10" s="9">
        <v>4</v>
      </c>
      <c r="Q10" s="9">
        <v>5</v>
      </c>
      <c r="R10" s="9">
        <v>6</v>
      </c>
      <c r="S10" s="9">
        <v>7</v>
      </c>
      <c r="T10" s="9">
        <v>8</v>
      </c>
      <c r="U10" s="9">
        <v>9</v>
      </c>
      <c r="V10" s="9">
        <v>10</v>
      </c>
      <c r="W10" s="9">
        <v>14</v>
      </c>
      <c r="X10" s="9">
        <v>18</v>
      </c>
      <c r="Y10" s="9">
        <v>20</v>
      </c>
      <c r="Z10" s="9">
        <v>23</v>
      </c>
      <c r="AA10" s="6">
        <v>25</v>
      </c>
      <c r="AB10" s="9">
        <v>30</v>
      </c>
      <c r="AC10" s="9">
        <v>40</v>
      </c>
      <c r="AD10" s="9">
        <v>50</v>
      </c>
      <c r="AG10" s="5" t="s">
        <v>16</v>
      </c>
      <c r="AH10" s="5">
        <f>LOOKUP(F14,M10:AD10,M9:AD9)</f>
        <v>12</v>
      </c>
      <c r="AI10" s="5">
        <f>IF(AH10=18,18,AH10+1)</f>
        <v>13</v>
      </c>
      <c r="AK10"/>
      <c r="AL10"/>
      <c r="AM10"/>
      <c r="AN10"/>
      <c r="AO10"/>
      <c r="AP10"/>
      <c r="AQ10"/>
      <c r="AR10"/>
      <c r="AS10"/>
      <c r="AT10"/>
      <c r="AU10"/>
      <c r="AV10"/>
    </row>
    <row r="11" spans="2:48" ht="19.5" customHeight="1">
      <c r="B11" s="168" t="s">
        <v>69</v>
      </c>
      <c r="C11" s="168"/>
      <c r="D11" s="168"/>
      <c r="F11" s="14">
        <v>0.0625</v>
      </c>
      <c r="H11" s="5"/>
      <c r="I11" s="5"/>
      <c r="K11" s="8">
        <v>2</v>
      </c>
      <c r="L11" s="10" t="s">
        <v>93</v>
      </c>
      <c r="M11" s="9">
        <v>10</v>
      </c>
      <c r="N11" s="9">
        <v>13.5</v>
      </c>
      <c r="O11" s="6">
        <v>16.3</v>
      </c>
      <c r="P11" s="9">
        <v>19.4</v>
      </c>
      <c r="Q11" s="9">
        <v>21.6</v>
      </c>
      <c r="R11" s="9">
        <v>22.8</v>
      </c>
      <c r="S11" s="9">
        <v>23.75</v>
      </c>
      <c r="T11" s="9">
        <v>25</v>
      </c>
      <c r="U11" s="9">
        <v>25.8</v>
      </c>
      <c r="V11" s="9">
        <v>26.6</v>
      </c>
      <c r="W11" s="9">
        <v>28.6</v>
      </c>
      <c r="X11" s="9">
        <v>29.3</v>
      </c>
      <c r="Y11" s="9">
        <v>29.7</v>
      </c>
      <c r="Z11" s="9">
        <v>30</v>
      </c>
      <c r="AA11" s="9">
        <v>30.1</v>
      </c>
      <c r="AB11" s="9">
        <v>30.4</v>
      </c>
      <c r="AC11" s="9">
        <v>30.4</v>
      </c>
      <c r="AD11" s="9">
        <v>30.3</v>
      </c>
      <c r="AG11" s="5" t="s">
        <v>96</v>
      </c>
      <c r="AH11" s="5">
        <f>LOOKUP(AH10,M9:AD9,M10:AD10)</f>
        <v>18</v>
      </c>
      <c r="AI11" s="5">
        <f>LOOKUP(AI10,M9:AD9,M10:AD10)</f>
        <v>20</v>
      </c>
      <c r="AK11"/>
      <c r="AL11"/>
      <c r="AM11"/>
      <c r="AN11"/>
      <c r="AO11"/>
      <c r="AP11"/>
      <c r="AQ11"/>
      <c r="AR11"/>
      <c r="AS11"/>
      <c r="AT11"/>
      <c r="AU11"/>
      <c r="AV11"/>
    </row>
    <row r="12" spans="2:48" ht="19.5" customHeight="1">
      <c r="B12" s="168" t="s">
        <v>12</v>
      </c>
      <c r="C12" s="168"/>
      <c r="D12" s="168"/>
      <c r="F12" s="14" t="s">
        <v>142</v>
      </c>
      <c r="H12" s="5"/>
      <c r="I12" s="5"/>
      <c r="AG12" s="5" t="s">
        <v>99</v>
      </c>
      <c r="AH12" s="5">
        <f>LOOKUP(AH11,M10:AD10,M11:AD11)</f>
        <v>29.3</v>
      </c>
      <c r="AI12" s="5">
        <f>LOOKUP(AI11,M10:AD10,M11:AD11)</f>
        <v>29.7</v>
      </c>
      <c r="AJ12" s="5">
        <f>((AI12-AH12)/(AI11-AH11))*(F14-AH11)+AH12</f>
        <v>29.3</v>
      </c>
      <c r="AK12"/>
      <c r="AL12"/>
      <c r="AM12"/>
      <c r="AN12"/>
      <c r="AO12"/>
      <c r="AP12"/>
      <c r="AQ12"/>
      <c r="AR12"/>
      <c r="AS12"/>
      <c r="AT12"/>
      <c r="AU12"/>
      <c r="AV12"/>
    </row>
    <row r="13" spans="2:48" ht="19.5" customHeight="1">
      <c r="B13" s="168" t="s">
        <v>70</v>
      </c>
      <c r="C13" s="168"/>
      <c r="D13" s="168"/>
      <c r="F13" s="14">
        <v>0.02</v>
      </c>
      <c r="H13" s="5"/>
      <c r="I13" s="5"/>
      <c r="K13"/>
      <c r="L13"/>
      <c r="M13"/>
      <c r="N13"/>
      <c r="O13"/>
      <c r="P13"/>
      <c r="Q13"/>
      <c r="R13"/>
      <c r="S13"/>
      <c r="T13"/>
      <c r="U13"/>
      <c r="V13"/>
      <c r="W13"/>
      <c r="X13"/>
      <c r="Y13"/>
      <c r="Z13"/>
      <c r="AA13"/>
      <c r="AB13"/>
      <c r="AC13"/>
      <c r="AI13"/>
      <c r="AJ13"/>
      <c r="AK13"/>
      <c r="AL13"/>
      <c r="AM13"/>
      <c r="AN13"/>
      <c r="AO13"/>
      <c r="AP13"/>
      <c r="AQ13"/>
      <c r="AR13"/>
      <c r="AS13"/>
      <c r="AT13"/>
      <c r="AU13"/>
      <c r="AV13"/>
    </row>
    <row r="14" spans="2:48" ht="19.5" customHeight="1">
      <c r="B14" s="28" t="s">
        <v>71</v>
      </c>
      <c r="C14" s="28"/>
      <c r="D14" s="28"/>
      <c r="E14" s="28"/>
      <c r="F14" s="14">
        <v>18</v>
      </c>
      <c r="H14" s="5"/>
      <c r="I14" s="5"/>
      <c r="K14"/>
      <c r="L14"/>
      <c r="M14"/>
      <c r="N14"/>
      <c r="O14"/>
      <c r="P14"/>
      <c r="Q14"/>
      <c r="R14"/>
      <c r="S14"/>
      <c r="T14"/>
      <c r="U14"/>
      <c r="V14"/>
      <c r="W14"/>
      <c r="X14"/>
      <c r="Y14"/>
      <c r="Z14"/>
      <c r="AA14"/>
      <c r="AB14"/>
      <c r="AC14"/>
      <c r="AI14"/>
      <c r="AJ14"/>
      <c r="AK14"/>
      <c r="AL14"/>
      <c r="AM14"/>
      <c r="AN14"/>
      <c r="AO14"/>
      <c r="AP14"/>
      <c r="AQ14"/>
      <c r="AR14"/>
      <c r="AS14"/>
      <c r="AT14"/>
      <c r="AU14"/>
      <c r="AV14"/>
    </row>
    <row r="15" spans="2:48" ht="19.5" customHeight="1">
      <c r="B15" s="171" t="s">
        <v>111</v>
      </c>
      <c r="C15" s="171"/>
      <c r="D15" s="171"/>
      <c r="E15" s="3"/>
      <c r="F15" s="14">
        <v>21</v>
      </c>
      <c r="H15" s="5"/>
      <c r="I15" s="5"/>
      <c r="K15" s="8"/>
      <c r="L15" s="8" t="s">
        <v>125</v>
      </c>
      <c r="M15" s="8"/>
      <c r="N15" s="8"/>
      <c r="O15" s="8"/>
      <c r="P15" s="8"/>
      <c r="Q15" s="8"/>
      <c r="R15" s="8"/>
      <c r="S15" s="8"/>
      <c r="T15" s="8"/>
      <c r="U15" s="8"/>
      <c r="V15" s="8"/>
      <c r="W15" s="8"/>
      <c r="X15" s="8"/>
      <c r="Y15" s="8"/>
      <c r="Z15" s="8"/>
      <c r="AA15" s="8"/>
      <c r="AB15" s="8"/>
      <c r="AC15" s="8"/>
      <c r="AD15" s="8"/>
      <c r="AK15"/>
      <c r="AL15"/>
      <c r="AM15"/>
      <c r="AN15"/>
      <c r="AO15"/>
      <c r="AP15"/>
      <c r="AQ15"/>
      <c r="AR15"/>
      <c r="AS15"/>
      <c r="AT15"/>
      <c r="AU15"/>
      <c r="AV15"/>
    </row>
    <row r="16" spans="2:48" ht="19.5" customHeight="1">
      <c r="B16" s="168" t="s">
        <v>72</v>
      </c>
      <c r="C16" s="168"/>
      <c r="D16" s="168"/>
      <c r="E16" s="3"/>
      <c r="F16" s="30">
        <v>1000000</v>
      </c>
      <c r="H16" s="5"/>
      <c r="I16" s="5"/>
      <c r="K16" s="8" t="s">
        <v>16</v>
      </c>
      <c r="L16" s="8"/>
      <c r="M16" s="8">
        <v>1</v>
      </c>
      <c r="N16" s="8">
        <v>2</v>
      </c>
      <c r="O16" s="8">
        <v>3</v>
      </c>
      <c r="P16" s="8">
        <v>4</v>
      </c>
      <c r="Q16" s="8">
        <v>5</v>
      </c>
      <c r="R16" s="8">
        <v>6</v>
      </c>
      <c r="S16" s="8">
        <v>7</v>
      </c>
      <c r="T16" s="8">
        <v>8</v>
      </c>
      <c r="U16" s="8">
        <v>9</v>
      </c>
      <c r="V16" s="8">
        <v>10</v>
      </c>
      <c r="W16" s="8">
        <v>11</v>
      </c>
      <c r="X16" s="8">
        <v>12</v>
      </c>
      <c r="Y16" s="8">
        <v>13</v>
      </c>
      <c r="Z16" s="8">
        <v>14</v>
      </c>
      <c r="AA16" s="8">
        <v>15</v>
      </c>
      <c r="AB16" s="8">
        <v>16</v>
      </c>
      <c r="AC16" s="8">
        <v>17</v>
      </c>
      <c r="AD16" s="8">
        <v>18</v>
      </c>
      <c r="AH16" s="5" t="s">
        <v>97</v>
      </c>
      <c r="AI16" s="5" t="s">
        <v>98</v>
      </c>
      <c r="AJ16" s="5" t="s">
        <v>95</v>
      </c>
      <c r="AK16"/>
      <c r="AL16"/>
      <c r="AM16"/>
      <c r="AN16"/>
      <c r="AO16"/>
      <c r="AP16"/>
      <c r="AQ16"/>
      <c r="AR16"/>
      <c r="AS16"/>
      <c r="AT16"/>
      <c r="AU16"/>
      <c r="AV16"/>
    </row>
    <row r="17" spans="2:48" ht="19.5" customHeight="1">
      <c r="B17" s="168" t="s">
        <v>73</v>
      </c>
      <c r="C17" s="168"/>
      <c r="D17" s="168"/>
      <c r="E17" s="3"/>
      <c r="F17" s="53">
        <v>1</v>
      </c>
      <c r="H17" s="5"/>
      <c r="I17" s="5"/>
      <c r="K17" s="8">
        <v>1</v>
      </c>
      <c r="L17" s="9" t="s">
        <v>94</v>
      </c>
      <c r="M17" s="9">
        <v>1</v>
      </c>
      <c r="N17" s="9">
        <v>2</v>
      </c>
      <c r="O17" s="9">
        <v>3</v>
      </c>
      <c r="P17" s="9">
        <v>4</v>
      </c>
      <c r="Q17" s="9">
        <v>5</v>
      </c>
      <c r="R17" s="9">
        <v>6</v>
      </c>
      <c r="S17" s="9">
        <v>7</v>
      </c>
      <c r="T17" s="9">
        <v>8</v>
      </c>
      <c r="U17" s="9">
        <v>9</v>
      </c>
      <c r="V17" s="9">
        <v>10</v>
      </c>
      <c r="W17" s="9">
        <v>14</v>
      </c>
      <c r="X17" s="9">
        <v>18</v>
      </c>
      <c r="Y17" s="9">
        <v>20</v>
      </c>
      <c r="Z17" s="9">
        <v>23</v>
      </c>
      <c r="AA17" s="6">
        <v>25</v>
      </c>
      <c r="AB17" s="9">
        <v>30</v>
      </c>
      <c r="AC17" s="9">
        <v>40</v>
      </c>
      <c r="AD17" s="9">
        <v>50</v>
      </c>
      <c r="AG17" s="5" t="s">
        <v>16</v>
      </c>
      <c r="AH17" s="5">
        <f>LOOKUP(F14,M17:AD17,M16:AD16)</f>
        <v>12</v>
      </c>
      <c r="AI17" s="5">
        <f>IF(AH17=18,18,AH17+1)</f>
        <v>13</v>
      </c>
      <c r="AK17"/>
      <c r="AL17"/>
      <c r="AM17"/>
      <c r="AN17"/>
      <c r="AO17"/>
      <c r="AP17"/>
      <c r="AQ17"/>
      <c r="AR17"/>
      <c r="AS17"/>
      <c r="AT17"/>
      <c r="AU17"/>
      <c r="AV17"/>
    </row>
    <row r="18" spans="2:48" ht="19.5" customHeight="1">
      <c r="B18" s="168" t="s">
        <v>74</v>
      </c>
      <c r="C18" s="168"/>
      <c r="D18" s="168"/>
      <c r="E18" s="15"/>
      <c r="F18" s="56">
        <v>0.001</v>
      </c>
      <c r="H18" s="5"/>
      <c r="I18" s="5"/>
      <c r="K18" s="8">
        <v>2</v>
      </c>
      <c r="L18" s="10" t="s">
        <v>93</v>
      </c>
      <c r="M18" s="9">
        <v>2</v>
      </c>
      <c r="N18" s="9">
        <v>3.7</v>
      </c>
      <c r="O18" s="6">
        <v>4.5</v>
      </c>
      <c r="P18" s="9">
        <v>4.95</v>
      </c>
      <c r="Q18" s="9">
        <v>5.2</v>
      </c>
      <c r="R18" s="9">
        <v>5.3</v>
      </c>
      <c r="S18" s="9">
        <v>5.31</v>
      </c>
      <c r="T18" s="9">
        <v>5.48</v>
      </c>
      <c r="U18" s="9">
        <v>5.5</v>
      </c>
      <c r="V18" s="9">
        <v>5.57</v>
      </c>
      <c r="W18" s="9">
        <v>5.57</v>
      </c>
      <c r="X18" s="9">
        <v>5.5</v>
      </c>
      <c r="Y18" s="9">
        <v>5.48</v>
      </c>
      <c r="Z18" s="9">
        <v>5.48</v>
      </c>
      <c r="AA18" s="9">
        <v>5.31</v>
      </c>
      <c r="AB18" s="9">
        <v>5.3</v>
      </c>
      <c r="AC18" s="9">
        <v>5.2</v>
      </c>
      <c r="AD18" s="9">
        <v>5.1</v>
      </c>
      <c r="AG18" s="5" t="s">
        <v>96</v>
      </c>
      <c r="AH18" s="5">
        <f>LOOKUP(AH17,M16:AD16,M17:AD17)</f>
        <v>18</v>
      </c>
      <c r="AI18" s="5">
        <f>LOOKUP(AI17,M16:AD16,M17:AD17)</f>
        <v>20</v>
      </c>
      <c r="AK18"/>
      <c r="AL18"/>
      <c r="AM18"/>
      <c r="AN18"/>
      <c r="AO18"/>
      <c r="AP18"/>
      <c r="AQ18"/>
      <c r="AR18"/>
      <c r="AS18"/>
      <c r="AT18"/>
      <c r="AU18"/>
      <c r="AV18"/>
    </row>
    <row r="19" spans="2:48" ht="19.5" customHeight="1">
      <c r="B19" s="12" t="s">
        <v>75</v>
      </c>
      <c r="C19" s="3"/>
      <c r="D19" s="3"/>
      <c r="E19" s="3"/>
      <c r="F19" s="57">
        <v>0.05</v>
      </c>
      <c r="H19" s="5"/>
      <c r="I19" s="5"/>
      <c r="AG19" s="5" t="s">
        <v>99</v>
      </c>
      <c r="AH19" s="5">
        <f>LOOKUP(AH18,M17:AD17,M18:AD18)</f>
        <v>5.5</v>
      </c>
      <c r="AI19" s="5">
        <f>LOOKUP(AI18,M17:AD17,M18:AD18)</f>
        <v>5.48</v>
      </c>
      <c r="AJ19" s="5">
        <f>((AI19-AH19)/(AI18-AH18))*(F14-AH18)+AH19</f>
        <v>5.5</v>
      </c>
      <c r="AK19"/>
      <c r="AL19"/>
      <c r="AM19"/>
      <c r="AN19"/>
      <c r="AO19"/>
      <c r="AP19"/>
      <c r="AQ19"/>
      <c r="AR19"/>
      <c r="AS19"/>
      <c r="AT19"/>
      <c r="AU19"/>
      <c r="AV19"/>
    </row>
    <row r="20" spans="2:48" ht="19.5" customHeight="1">
      <c r="B20" s="19" t="s">
        <v>76</v>
      </c>
      <c r="C20" s="11"/>
      <c r="D20" s="11"/>
      <c r="E20" s="3"/>
      <c r="F20" s="55">
        <v>0.0002</v>
      </c>
      <c r="H20" s="5"/>
      <c r="I20" s="5"/>
      <c r="K20"/>
      <c r="L20"/>
      <c r="M20"/>
      <c r="N20"/>
      <c r="O20"/>
      <c r="P20"/>
      <c r="Q20"/>
      <c r="R20"/>
      <c r="S20"/>
      <c r="T20"/>
      <c r="U20"/>
      <c r="V20"/>
      <c r="W20"/>
      <c r="X20"/>
      <c r="Y20"/>
      <c r="Z20"/>
      <c r="AA20"/>
      <c r="AB20"/>
      <c r="AC20"/>
      <c r="AI20"/>
      <c r="AJ20"/>
      <c r="AK20"/>
      <c r="AL20"/>
      <c r="AM20"/>
      <c r="AN20"/>
      <c r="AO20"/>
      <c r="AP20"/>
      <c r="AQ20"/>
      <c r="AR20"/>
      <c r="AS20"/>
      <c r="AT20"/>
      <c r="AU20"/>
      <c r="AV20"/>
    </row>
    <row r="21" spans="2:48" ht="19.5" customHeight="1">
      <c r="B21" s="168" t="s">
        <v>77</v>
      </c>
      <c r="C21" s="168"/>
      <c r="D21" s="168"/>
      <c r="E21" s="3"/>
      <c r="F21" s="13">
        <v>4</v>
      </c>
      <c r="H21" s="5"/>
      <c r="I21" s="5"/>
      <c r="K21"/>
      <c r="L21"/>
      <c r="M21"/>
      <c r="N21"/>
      <c r="O21"/>
      <c r="P21"/>
      <c r="Q21"/>
      <c r="R21"/>
      <c r="S21"/>
      <c r="T21"/>
      <c r="U21"/>
      <c r="V21"/>
      <c r="W21"/>
      <c r="X21"/>
      <c r="Y21"/>
      <c r="Z21"/>
      <c r="AA21"/>
      <c r="AB21"/>
      <c r="AC21"/>
      <c r="AI21"/>
      <c r="AJ21"/>
      <c r="AK21"/>
      <c r="AL21"/>
      <c r="AM21"/>
      <c r="AN21"/>
      <c r="AO21"/>
      <c r="AP21"/>
      <c r="AQ21"/>
      <c r="AR21"/>
      <c r="AS21"/>
      <c r="AT21"/>
      <c r="AU21"/>
      <c r="AV21"/>
    </row>
    <row r="22" spans="2:48" ht="19.5" customHeight="1">
      <c r="B22" s="12" t="s">
        <v>78</v>
      </c>
      <c r="C22" s="3"/>
      <c r="D22" s="3"/>
      <c r="E22" s="3"/>
      <c r="F22" s="14">
        <v>3</v>
      </c>
      <c r="H22" s="5"/>
      <c r="I22" s="5"/>
      <c r="K22" s="61"/>
      <c r="L22" s="61" t="s">
        <v>100</v>
      </c>
      <c r="M22" s="61"/>
      <c r="N22" s="61"/>
      <c r="O22" s="61"/>
      <c r="P22" s="61"/>
      <c r="Q22" s="61"/>
      <c r="R22" s="61"/>
      <c r="S22" s="61"/>
      <c r="T22" s="61"/>
      <c r="U22" s="61"/>
      <c r="V22" s="61"/>
      <c r="W22" s="61"/>
      <c r="X22" s="61"/>
      <c r="Y22" s="61"/>
      <c r="Z22" s="61"/>
      <c r="AA22" s="61"/>
      <c r="AB22" s="8"/>
      <c r="AC22" s="8"/>
      <c r="AD22" s="8"/>
      <c r="AK22"/>
      <c r="AL22"/>
      <c r="AM22"/>
      <c r="AN22"/>
      <c r="AO22"/>
      <c r="AP22"/>
      <c r="AQ22"/>
      <c r="AR22"/>
      <c r="AS22"/>
      <c r="AT22"/>
      <c r="AU22"/>
      <c r="AV22"/>
    </row>
    <row r="23" spans="2:48" ht="19.5" customHeight="1">
      <c r="B23" t="s">
        <v>115</v>
      </c>
      <c r="F23" s="14">
        <v>5</v>
      </c>
      <c r="H23" s="5"/>
      <c r="I23" s="5"/>
      <c r="K23" s="61" t="s">
        <v>16</v>
      </c>
      <c r="L23" s="61"/>
      <c r="M23" s="61">
        <v>1</v>
      </c>
      <c r="N23" s="61">
        <v>2</v>
      </c>
      <c r="O23" s="61">
        <v>3</v>
      </c>
      <c r="P23" s="61">
        <v>4</v>
      </c>
      <c r="Q23" s="61">
        <v>5</v>
      </c>
      <c r="R23" s="61">
        <v>6</v>
      </c>
      <c r="S23" s="61">
        <v>7</v>
      </c>
      <c r="T23" s="61">
        <v>8</v>
      </c>
      <c r="U23" s="61">
        <v>9</v>
      </c>
      <c r="V23" s="61">
        <v>10</v>
      </c>
      <c r="W23" s="61">
        <v>11</v>
      </c>
      <c r="X23" s="61">
        <v>12</v>
      </c>
      <c r="Y23" s="62">
        <v>13</v>
      </c>
      <c r="Z23" s="62">
        <v>14</v>
      </c>
      <c r="AA23" s="62">
        <v>15</v>
      </c>
      <c r="AB23"/>
      <c r="AC23"/>
      <c r="AD23"/>
      <c r="AH23" s="5" t="s">
        <v>102</v>
      </c>
      <c r="AI23" s="5" t="s">
        <v>103</v>
      </c>
      <c r="AJ23" s="5" t="s">
        <v>95</v>
      </c>
      <c r="AK23"/>
      <c r="AL23"/>
      <c r="AM23"/>
      <c r="AN23"/>
      <c r="AO23"/>
      <c r="AP23"/>
      <c r="AQ23"/>
      <c r="AR23"/>
      <c r="AS23"/>
      <c r="AT23"/>
      <c r="AU23"/>
      <c r="AV23"/>
    </row>
    <row r="24" spans="2:48" ht="19.5" customHeight="1">
      <c r="B24" t="s">
        <v>114</v>
      </c>
      <c r="F24" s="14">
        <v>0.6</v>
      </c>
      <c r="H24" s="5"/>
      <c r="I24" s="5"/>
      <c r="K24" s="61"/>
      <c r="L24" s="61"/>
      <c r="M24" s="61"/>
      <c r="N24" s="61"/>
      <c r="O24" s="61"/>
      <c r="P24" s="61"/>
      <c r="Q24" s="61"/>
      <c r="R24" s="61"/>
      <c r="S24" s="61"/>
      <c r="T24" s="61"/>
      <c r="U24" s="61"/>
      <c r="V24" s="61"/>
      <c r="W24" s="61"/>
      <c r="X24" s="61"/>
      <c r="Y24" s="62"/>
      <c r="Z24" s="62"/>
      <c r="AA24" s="62"/>
      <c r="AB24"/>
      <c r="AC24"/>
      <c r="AD24"/>
      <c r="AK24"/>
      <c r="AL24"/>
      <c r="AM24"/>
      <c r="AN24"/>
      <c r="AO24"/>
      <c r="AP24"/>
      <c r="AQ24"/>
      <c r="AR24"/>
      <c r="AS24"/>
      <c r="AT24"/>
      <c r="AU24"/>
      <c r="AV24"/>
    </row>
    <row r="25" spans="2:48" ht="19.5" customHeight="1">
      <c r="B25" s="12" t="s">
        <v>119</v>
      </c>
      <c r="F25" s="14">
        <v>1.6</v>
      </c>
      <c r="H25" s="5"/>
      <c r="I25" s="5"/>
      <c r="K25" s="61">
        <v>1</v>
      </c>
      <c r="L25" s="63" t="s">
        <v>101</v>
      </c>
      <c r="M25" s="63">
        <v>6</v>
      </c>
      <c r="N25" s="63">
        <v>8</v>
      </c>
      <c r="O25" s="63">
        <v>10</v>
      </c>
      <c r="P25" s="63">
        <v>12</v>
      </c>
      <c r="Q25" s="63">
        <v>14</v>
      </c>
      <c r="R25" s="63">
        <v>16</v>
      </c>
      <c r="S25" s="63">
        <v>18</v>
      </c>
      <c r="T25" s="63">
        <v>20</v>
      </c>
      <c r="U25" s="63">
        <v>22</v>
      </c>
      <c r="V25" s="63">
        <v>24</v>
      </c>
      <c r="W25" s="63">
        <v>26</v>
      </c>
      <c r="X25" s="64">
        <v>28</v>
      </c>
      <c r="Y25" s="64">
        <v>30</v>
      </c>
      <c r="Z25" s="64">
        <v>40</v>
      </c>
      <c r="AA25" s="64">
        <v>50</v>
      </c>
      <c r="AB25"/>
      <c r="AC25"/>
      <c r="AD25"/>
      <c r="AG25" s="5" t="s">
        <v>16</v>
      </c>
      <c r="AH25" s="5">
        <f>LOOKUP(F15,M25:AA25,M23:AA23)</f>
        <v>8</v>
      </c>
      <c r="AI25" s="5">
        <f>IF(AH25=15,15,AH25+1)</f>
        <v>9</v>
      </c>
      <c r="AK25"/>
      <c r="AL25"/>
      <c r="AM25"/>
      <c r="AN25"/>
      <c r="AO25"/>
      <c r="AP25"/>
      <c r="AQ25"/>
      <c r="AR25"/>
      <c r="AS25"/>
      <c r="AT25"/>
      <c r="AU25"/>
      <c r="AV25"/>
    </row>
    <row r="26" spans="2:51" ht="19.5" customHeight="1">
      <c r="B26" t="s">
        <v>79</v>
      </c>
      <c r="F26" s="14">
        <v>2</v>
      </c>
      <c r="H26" s="5"/>
      <c r="I26" s="5"/>
      <c r="K26" s="61">
        <v>2</v>
      </c>
      <c r="L26" s="65" t="s">
        <v>100</v>
      </c>
      <c r="M26" s="63">
        <v>0.0011</v>
      </c>
      <c r="N26" s="63">
        <v>0.002</v>
      </c>
      <c r="O26" s="66">
        <v>0.003</v>
      </c>
      <c r="P26" s="63">
        <v>0.004</v>
      </c>
      <c r="Q26" s="63">
        <v>0.0055</v>
      </c>
      <c r="R26" s="63">
        <v>0.007</v>
      </c>
      <c r="S26" s="63">
        <v>0.0086</v>
      </c>
      <c r="T26" s="63">
        <v>0.0105</v>
      </c>
      <c r="U26" s="63">
        <v>0.011</v>
      </c>
      <c r="V26" s="63">
        <v>0.015</v>
      </c>
      <c r="W26" s="63">
        <v>0.017</v>
      </c>
      <c r="X26" s="63">
        <v>0.019</v>
      </c>
      <c r="Y26" s="64">
        <v>0.0205</v>
      </c>
      <c r="Z26" s="64">
        <v>0.032</v>
      </c>
      <c r="AA26" s="64">
        <v>0.044</v>
      </c>
      <c r="AB26"/>
      <c r="AC26"/>
      <c r="AD26"/>
      <c r="AG26" s="5" t="s">
        <v>96</v>
      </c>
      <c r="AH26" s="5">
        <f>LOOKUP(AH25,M23:AA23,M25:AA25)</f>
        <v>20</v>
      </c>
      <c r="AI26" s="5">
        <f>LOOKUP(AI25,M23:AA23,M25:AA25)</f>
        <v>22</v>
      </c>
      <c r="AK26"/>
      <c r="AL26"/>
      <c r="AM26"/>
      <c r="AN26"/>
      <c r="AO26"/>
      <c r="AP26"/>
      <c r="AQ26"/>
      <c r="AR26"/>
      <c r="AS26"/>
      <c r="AT26"/>
      <c r="AU26"/>
      <c r="AV26"/>
      <c r="AY26" s="18"/>
    </row>
    <row r="27" spans="2:48" ht="19.5" customHeight="1">
      <c r="B27" t="s">
        <v>80</v>
      </c>
      <c r="F27" s="14">
        <v>0.16</v>
      </c>
      <c r="H27" s="5"/>
      <c r="I27" s="5"/>
      <c r="Q27" s="103"/>
      <c r="R27" s="103"/>
      <c r="S27" s="103"/>
      <c r="T27" s="108" t="s">
        <v>176</v>
      </c>
      <c r="U27" s="109" t="s">
        <v>177</v>
      </c>
      <c r="AB27"/>
      <c r="AG27" s="5" t="s">
        <v>99</v>
      </c>
      <c r="AH27" s="5">
        <f>LOOKUP(AH26,M25:AA25,M26:AA26)</f>
        <v>0.0105</v>
      </c>
      <c r="AI27" s="5">
        <f>LOOKUP(AI26,M25:AA25,M26:AA26)</f>
        <v>0.011</v>
      </c>
      <c r="AJ27" s="5">
        <f>((AI27-AH27)/(AI26-AH26))*(F15-AH26)+AH27</f>
        <v>0.01075</v>
      </c>
      <c r="AK27"/>
      <c r="AL27"/>
      <c r="AM27"/>
      <c r="AN27"/>
      <c r="AO27"/>
      <c r="AP27"/>
      <c r="AQ27"/>
      <c r="AR27"/>
      <c r="AS27"/>
      <c r="AT27"/>
      <c r="AU27"/>
      <c r="AV27"/>
    </row>
    <row r="28" spans="2:48" ht="19.5" customHeight="1">
      <c r="B28" t="s">
        <v>81</v>
      </c>
      <c r="F28" s="14">
        <v>18</v>
      </c>
      <c r="H28" s="5"/>
      <c r="I28" s="5"/>
      <c r="K28"/>
      <c r="L28" s="181" t="s">
        <v>163</v>
      </c>
      <c r="M28" s="181"/>
      <c r="N28" s="181"/>
      <c r="O28" s="96" t="s">
        <v>93</v>
      </c>
      <c r="P28"/>
      <c r="Q28" s="107" t="s">
        <v>173</v>
      </c>
      <c r="R28" s="103"/>
      <c r="S28" s="107" t="s">
        <v>174</v>
      </c>
      <c r="T28" s="107">
        <v>25</v>
      </c>
      <c r="U28" s="107">
        <v>42</v>
      </c>
      <c r="V28"/>
      <c r="W28"/>
      <c r="X28"/>
      <c r="Y28"/>
      <c r="Z28"/>
      <c r="AA28"/>
      <c r="AB28"/>
      <c r="AC28"/>
      <c r="AI28"/>
      <c r="AJ28"/>
      <c r="AK28"/>
      <c r="AL28"/>
      <c r="AM28"/>
      <c r="AN28"/>
      <c r="AO28"/>
      <c r="AP28"/>
      <c r="AQ28"/>
      <c r="AR28"/>
      <c r="AS28"/>
      <c r="AT28"/>
      <c r="AU28"/>
      <c r="AV28"/>
    </row>
    <row r="29" spans="2:48" ht="19.5" customHeight="1">
      <c r="B29" t="s">
        <v>139</v>
      </c>
      <c r="F29" s="14">
        <v>1</v>
      </c>
      <c r="H29" s="5"/>
      <c r="I29" s="5"/>
      <c r="K29"/>
      <c r="L29" s="97" t="s">
        <v>82</v>
      </c>
      <c r="M29" s="98"/>
      <c r="N29" s="123">
        <v>1</v>
      </c>
      <c r="O29" s="99">
        <v>16</v>
      </c>
      <c r="P29"/>
      <c r="Q29" s="103"/>
      <c r="R29" s="103"/>
      <c r="S29" s="107" t="s">
        <v>175</v>
      </c>
      <c r="T29" s="107">
        <v>16</v>
      </c>
      <c r="U29" s="107"/>
      <c r="V29"/>
      <c r="W29"/>
      <c r="X29"/>
      <c r="Y29"/>
      <c r="Z29"/>
      <c r="AA29"/>
      <c r="AB29"/>
      <c r="AC29"/>
      <c r="AI29"/>
      <c r="AJ29"/>
      <c r="AK29"/>
      <c r="AL29"/>
      <c r="AM29"/>
      <c r="AN29"/>
      <c r="AO29"/>
      <c r="AP29"/>
      <c r="AQ29"/>
      <c r="AR29"/>
      <c r="AS29"/>
      <c r="AT29"/>
      <c r="AU29"/>
      <c r="AV29"/>
    </row>
    <row r="30" spans="2:48" ht="15.75">
      <c r="B30" s="100" t="s">
        <v>165</v>
      </c>
      <c r="C30" s="100"/>
      <c r="D30" s="100"/>
      <c r="E30" s="100"/>
      <c r="F30" s="101"/>
      <c r="H30" s="5"/>
      <c r="I30" s="5"/>
      <c r="K30"/>
      <c r="L30" s="97" t="s">
        <v>164</v>
      </c>
      <c r="M30" s="98"/>
      <c r="N30"/>
      <c r="O30" s="99">
        <v>9</v>
      </c>
      <c r="P30"/>
      <c r="Q30" s="107" t="s">
        <v>178</v>
      </c>
      <c r="R30" s="103"/>
      <c r="S30" s="103"/>
      <c r="T30" s="107">
        <v>13</v>
      </c>
      <c r="U30" s="107">
        <v>37</v>
      </c>
      <c r="V30"/>
      <c r="W30"/>
      <c r="X30"/>
      <c r="Y30"/>
      <c r="Z30"/>
      <c r="AA30"/>
      <c r="AB30"/>
      <c r="AC30"/>
      <c r="AI30"/>
      <c r="AJ30"/>
      <c r="AK30"/>
      <c r="AL30"/>
      <c r="AM30"/>
      <c r="AN30"/>
      <c r="AO30"/>
      <c r="AP30"/>
      <c r="AQ30"/>
      <c r="AR30"/>
      <c r="AS30"/>
      <c r="AT30"/>
      <c r="AU30"/>
      <c r="AV30"/>
    </row>
    <row r="31" spans="2:48" ht="15.75">
      <c r="B31" s="100" t="s">
        <v>166</v>
      </c>
      <c r="C31" s="100"/>
      <c r="D31" s="100"/>
      <c r="E31" s="100"/>
      <c r="F31" s="124">
        <v>154</v>
      </c>
      <c r="H31" s="5"/>
      <c r="I31" s="5"/>
      <c r="K31"/>
      <c r="L31" s="97" t="s">
        <v>83</v>
      </c>
      <c r="M31" s="98"/>
      <c r="N31"/>
      <c r="O31" s="99">
        <v>1.5</v>
      </c>
      <c r="P31"/>
      <c r="Q31"/>
      <c r="R31"/>
      <c r="S31"/>
      <c r="T31"/>
      <c r="U31"/>
      <c r="V31"/>
      <c r="W31"/>
      <c r="X31"/>
      <c r="Y31"/>
      <c r="Z31"/>
      <c r="AA31"/>
      <c r="AB31"/>
      <c r="AC31"/>
      <c r="AI31"/>
      <c r="AJ31"/>
      <c r="AK31"/>
      <c r="AL31"/>
      <c r="AM31"/>
      <c r="AN31"/>
      <c r="AO31"/>
      <c r="AP31"/>
      <c r="AQ31"/>
      <c r="AR31"/>
      <c r="AS31"/>
      <c r="AT31"/>
      <c r="AU31"/>
      <c r="AV31"/>
    </row>
    <row r="32" spans="2:48" ht="6" customHeight="1">
      <c r="B32" s="36"/>
      <c r="C32" s="36"/>
      <c r="D32" s="36"/>
      <c r="E32" s="36"/>
      <c r="F32" s="37"/>
      <c r="G32" s="38"/>
      <c r="H32" s="38"/>
      <c r="K32"/>
      <c r="L32"/>
      <c r="M32"/>
      <c r="N32"/>
      <c r="O32"/>
      <c r="P32"/>
      <c r="Q32"/>
      <c r="R32"/>
      <c r="S32"/>
      <c r="T32"/>
      <c r="U32"/>
      <c r="V32"/>
      <c r="W32"/>
      <c r="X32"/>
      <c r="Y32"/>
      <c r="Z32"/>
      <c r="AA32"/>
      <c r="AB32"/>
      <c r="AC32"/>
      <c r="AI32"/>
      <c r="AJ32"/>
      <c r="AK32"/>
      <c r="AL32"/>
      <c r="AM32"/>
      <c r="AN32"/>
      <c r="AO32"/>
      <c r="AP32"/>
      <c r="AQ32"/>
      <c r="AR32"/>
      <c r="AS32"/>
      <c r="AT32"/>
      <c r="AU32"/>
      <c r="AV32"/>
    </row>
    <row r="33" spans="2:66" ht="15.75">
      <c r="B33" s="112" t="s">
        <v>179</v>
      </c>
      <c r="C33" s="113"/>
      <c r="D33" s="113"/>
      <c r="E33" s="113"/>
      <c r="F33" s="114">
        <f>(IF($F$31="","",(IF($N$29=1,($F$16*$F$10*$F$11*P33*$F$17)/(10^($F$31/$AJ$5)),(IF($N$29=2,($F$16*$F$10*$F$11*P33*$F$17)/(10^($F$31/$AJ$12)),($F$16*$F$10*$F$11*P33*$F$17)/(10^($F$31/$AJ$19))))))))</f>
        <v>0.3290949654229537</v>
      </c>
      <c r="G33" s="42"/>
      <c r="H33" s="49"/>
      <c r="I33" s="5"/>
      <c r="K33"/>
      <c r="L33" s="100" t="s">
        <v>105</v>
      </c>
      <c r="M33" s="100"/>
      <c r="N33" s="100"/>
      <c r="O33" s="100"/>
      <c r="P33" s="111">
        <f>1/(F21*F21)</f>
        <v>0.0625</v>
      </c>
      <c r="Q33"/>
      <c r="R33"/>
      <c r="S33" s="32"/>
      <c r="T33" s="33"/>
      <c r="U33" s="32"/>
      <c r="V33" s="32"/>
      <c r="W33" s="32"/>
      <c r="X33"/>
      <c r="Y33"/>
      <c r="Z33"/>
      <c r="AA33"/>
      <c r="AB33"/>
      <c r="AC33"/>
      <c r="AI33"/>
      <c r="AJ33" s="32"/>
      <c r="AK33"/>
      <c r="AL33" s="32"/>
      <c r="AM33" s="32"/>
      <c r="AN33" s="32"/>
      <c r="AO33"/>
      <c r="AP33"/>
      <c r="AQ33"/>
      <c r="AR33"/>
      <c r="AS33"/>
      <c r="AT33"/>
      <c r="AX33" s="5"/>
      <c r="AZ33" s="32"/>
      <c r="BB33" s="32"/>
      <c r="BC33" s="32"/>
      <c r="BD33" s="32"/>
      <c r="BK33" s="5"/>
      <c r="BL33" s="5"/>
      <c r="BM33" s="5"/>
      <c r="BN33" s="5"/>
    </row>
    <row r="34" spans="2:66" ht="15.75">
      <c r="B34" s="115" t="s">
        <v>167</v>
      </c>
      <c r="C34" s="116"/>
      <c r="D34" s="116"/>
      <c r="E34" s="116"/>
      <c r="F34" s="117">
        <f>IF(F31="","",(IF($N$29=1,($F$16*$F$11*P34*$F$17)/(10^($F$31/$O$29)),(IF($N$29=2,($F$16*$F$11*P34*$F$17)/(10^($F$31/$O$30)),($F$16*$F$11*P34*$F$17)/(10^($F$31/$O$31)))))))</f>
        <v>2.6348596729573937E-09</v>
      </c>
      <c r="G34" s="42"/>
      <c r="H34" s="49"/>
      <c r="I34" s="5"/>
      <c r="K34"/>
      <c r="L34" s="100" t="s">
        <v>106</v>
      </c>
      <c r="M34" s="100"/>
      <c r="N34" s="100"/>
      <c r="O34" s="100"/>
      <c r="P34" s="100">
        <f>F27/(100*F22^2)</f>
        <v>0.00017777777777777779</v>
      </c>
      <c r="Q34"/>
      <c r="R34"/>
      <c r="S34" s="32"/>
      <c r="T34" s="33"/>
      <c r="U34" s="32"/>
      <c r="V34" s="32"/>
      <c r="W34" s="34"/>
      <c r="X34" s="32"/>
      <c r="Y34"/>
      <c r="Z34"/>
      <c r="AA34"/>
      <c r="AB34"/>
      <c r="AC34"/>
      <c r="AI34"/>
      <c r="AJ34" s="32"/>
      <c r="AK34"/>
      <c r="AL34" s="32"/>
      <c r="AM34" s="32"/>
      <c r="AN34" s="34"/>
      <c r="AO34" s="32"/>
      <c r="AP34"/>
      <c r="AQ34"/>
      <c r="AR34"/>
      <c r="AS34"/>
      <c r="AT34"/>
      <c r="AX34" s="5"/>
      <c r="AZ34" s="32"/>
      <c r="BB34" s="32"/>
      <c r="BC34" s="32"/>
      <c r="BD34" s="34"/>
      <c r="BE34" s="32"/>
      <c r="BK34" s="5"/>
      <c r="BL34" s="5"/>
      <c r="BM34" s="5"/>
      <c r="BN34" s="5"/>
    </row>
    <row r="35" spans="2:66" ht="15.75">
      <c r="B35" s="115" t="s">
        <v>168</v>
      </c>
      <c r="C35" s="116"/>
      <c r="D35" s="116"/>
      <c r="E35" s="116"/>
      <c r="F35" s="117">
        <f>IF($F$31="","",(IF($N$29=1,($F$16*$F$11*P35*$F$17)/(10^($F$31/$O$29)),(IF($N$29=2,($F$16*$F$11*P35*$F$17)/(10^($F$31/$O$30)),($F$16*$F$11*P35*$F$17)/(10^($F$31/$O$31)))))))</f>
        <v>3.0709289488318426E-10</v>
      </c>
      <c r="G35" s="42"/>
      <c r="H35" s="49"/>
      <c r="I35" s="5"/>
      <c r="K35"/>
      <c r="L35" s="100" t="s">
        <v>107</v>
      </c>
      <c r="M35" s="100"/>
      <c r="N35" s="100"/>
      <c r="O35" s="100"/>
      <c r="P35" s="100">
        <f>(0.000001+0.01*(F18/F24^2))*(F28/F23^2)</f>
        <v>2.072E-05</v>
      </c>
      <c r="Q35"/>
      <c r="R35"/>
      <c r="S35" s="32"/>
      <c r="T35" s="33"/>
      <c r="U35" s="32"/>
      <c r="V35" s="32"/>
      <c r="W35" s="32"/>
      <c r="X35" s="32"/>
      <c r="Y35" s="34"/>
      <c r="Z35" s="32"/>
      <c r="AA35"/>
      <c r="AB35"/>
      <c r="AC35"/>
      <c r="AI35"/>
      <c r="AJ35" s="32"/>
      <c r="AK35"/>
      <c r="AL35" s="32"/>
      <c r="AM35" s="32"/>
      <c r="AN35" s="32"/>
      <c r="AO35" s="32"/>
      <c r="AP35" s="34"/>
      <c r="AQ35" s="32"/>
      <c r="AR35"/>
      <c r="AS35"/>
      <c r="AT35"/>
      <c r="AX35" s="5"/>
      <c r="AZ35" s="32"/>
      <c r="BB35" s="32"/>
      <c r="BC35" s="32"/>
      <c r="BD35" s="32"/>
      <c r="BE35" s="32"/>
      <c r="BF35" s="34"/>
      <c r="BG35" s="32"/>
      <c r="BK35" s="5"/>
      <c r="BL35" s="5"/>
      <c r="BM35" s="5"/>
      <c r="BN35" s="5"/>
    </row>
    <row r="36" spans="2:66" ht="15.75">
      <c r="B36" s="115" t="s">
        <v>169</v>
      </c>
      <c r="C36" s="116"/>
      <c r="D36" s="116"/>
      <c r="E36" s="116"/>
      <c r="F36" s="117">
        <f>IF(F31="","",(IF($N$29=1,($F$16*$F$11*P36*$F$17)/(10^($F$31/$AJ$5)),(IF($N$29=2,($F$16*$F$11*P36*$F$17)/(10^($F$31/$AJ$12)),($F$16*$F$11*P36*$F$17)/(10^($F$31/$AJ$19)))))))</f>
        <v>0.00822737413557384</v>
      </c>
      <c r="G36" s="42"/>
      <c r="H36" s="49"/>
      <c r="I36" s="5"/>
      <c r="K36"/>
      <c r="L36" s="100" t="s">
        <v>108</v>
      </c>
      <c r="M36" s="100"/>
      <c r="N36" s="100"/>
      <c r="O36" s="100"/>
      <c r="P36" s="100">
        <f>F18/(F25)^2</f>
        <v>0.0003906249999999999</v>
      </c>
      <c r="Q36"/>
      <c r="R36"/>
      <c r="S36" s="32"/>
      <c r="T36" s="33"/>
      <c r="U36" s="32"/>
      <c r="V36" s="32"/>
      <c r="W36" s="32"/>
      <c r="X36" s="32"/>
      <c r="Y36" s="32"/>
      <c r="Z36" s="32"/>
      <c r="AA36" s="34"/>
      <c r="AB36" s="32"/>
      <c r="AC36"/>
      <c r="AI36"/>
      <c r="AJ36" s="32"/>
      <c r="AK36"/>
      <c r="AL36" s="32"/>
      <c r="AM36" s="32"/>
      <c r="AN36" s="32"/>
      <c r="AO36" s="32"/>
      <c r="AP36" s="32"/>
      <c r="AQ36" s="32"/>
      <c r="AR36" s="34"/>
      <c r="AS36" s="32"/>
      <c r="AT36"/>
      <c r="AX36" s="5"/>
      <c r="AZ36" s="32"/>
      <c r="BB36" s="32"/>
      <c r="BC36" s="32"/>
      <c r="BD36" s="32"/>
      <c r="BE36" s="32"/>
      <c r="BF36" s="32"/>
      <c r="BG36" s="32"/>
      <c r="BH36" s="34"/>
      <c r="BI36" s="32"/>
      <c r="BK36" s="5"/>
      <c r="BL36" s="5"/>
      <c r="BM36" s="5"/>
      <c r="BN36" s="5"/>
    </row>
    <row r="37" spans="2:66" ht="15.75">
      <c r="B37" s="115" t="s">
        <v>170</v>
      </c>
      <c r="C37" s="116"/>
      <c r="D37" s="116"/>
      <c r="E37" s="116"/>
      <c r="F37" s="117">
        <f>IF($F$31="","",IF(OR($N$29=1,$N$29=2),(IF($F$31&lt;25,($F$16*$F$11*P37*$F$17*10)/(10^($F$31/$T$28)),0.1*($F$16*$F$11*P37*$F$17*10)/(10^(($F$31-25)/$T$29)))),$F$16*$F$11*P37*$F$17*10/(10^($F$31/$U$28))))</f>
        <v>6.765346276250503E-08</v>
      </c>
      <c r="G37" s="42"/>
      <c r="H37" s="49"/>
      <c r="I37" s="5"/>
      <c r="K37"/>
      <c r="L37" s="100" t="s">
        <v>109</v>
      </c>
      <c r="M37" s="100"/>
      <c r="N37" s="100"/>
      <c r="O37" s="100"/>
      <c r="P37" s="104">
        <f>F20/F25</f>
        <v>0.000125</v>
      </c>
      <c r="Q37"/>
      <c r="R37"/>
      <c r="S37" s="32"/>
      <c r="T37" s="33"/>
      <c r="U37" s="32"/>
      <c r="V37" s="32"/>
      <c r="W37" s="32"/>
      <c r="X37" s="32"/>
      <c r="Y37" s="32"/>
      <c r="Z37" s="32"/>
      <c r="AA37" s="32"/>
      <c r="AB37" s="32"/>
      <c r="AC37" s="34"/>
      <c r="AD37" s="32"/>
      <c r="AI37"/>
      <c r="AJ37" s="32"/>
      <c r="AK37"/>
      <c r="AL37" s="32"/>
      <c r="AM37" s="32"/>
      <c r="AN37" s="32"/>
      <c r="AO37" s="32"/>
      <c r="AP37" s="32"/>
      <c r="AQ37" s="32"/>
      <c r="AR37" s="32"/>
      <c r="AS37" s="32"/>
      <c r="AT37" s="34"/>
      <c r="AU37" s="32"/>
      <c r="AX37" s="5"/>
      <c r="AZ37" s="32"/>
      <c r="BB37" s="32"/>
      <c r="BC37" s="32"/>
      <c r="BD37" s="32"/>
      <c r="BE37" s="32"/>
      <c r="BF37" s="32"/>
      <c r="BG37" s="32"/>
      <c r="BH37" s="32"/>
      <c r="BI37" s="32"/>
      <c r="BJ37" s="34"/>
      <c r="BK37" s="32"/>
      <c r="BL37" s="5"/>
      <c r="BM37" s="5"/>
      <c r="BN37" s="5"/>
    </row>
    <row r="38" spans="2:66" ht="15.75">
      <c r="B38" s="115" t="s">
        <v>171</v>
      </c>
      <c r="C38" s="116"/>
      <c r="D38" s="116"/>
      <c r="E38" s="116"/>
      <c r="F38" s="117">
        <f>IF(F31="","",IF(OR($N$29=1,$N$29=2),($F$16*$F$11*P38*$F$17*10)/(10^($F$31/$T$30)),$F$16*$F$11*P38*$F$17*10/(10^($F$31/$U$30))))</f>
        <v>8.906891689393698E-12</v>
      </c>
      <c r="G38" s="42"/>
      <c r="H38" s="49"/>
      <c r="I38" s="5"/>
      <c r="K38"/>
      <c r="L38" s="100" t="s">
        <v>110</v>
      </c>
      <c r="M38" s="100"/>
      <c r="N38" s="100"/>
      <c r="O38" s="100"/>
      <c r="P38" s="100">
        <f>0.1*F20*F29/F26</f>
        <v>1E-05</v>
      </c>
      <c r="Q38"/>
      <c r="R38"/>
      <c r="S38" s="32"/>
      <c r="T38" s="33"/>
      <c r="U38" s="32"/>
      <c r="V38" s="32"/>
      <c r="W38" s="32"/>
      <c r="X38" s="32"/>
      <c r="Y38" s="32"/>
      <c r="Z38" s="32"/>
      <c r="AA38" s="32"/>
      <c r="AB38" s="32"/>
      <c r="AC38" s="32"/>
      <c r="AD38" s="32"/>
      <c r="AE38" s="34"/>
      <c r="AF38" s="35"/>
      <c r="AI38"/>
      <c r="AJ38" s="32"/>
      <c r="AK38"/>
      <c r="AL38" s="32"/>
      <c r="AM38" s="32"/>
      <c r="AN38" s="32"/>
      <c r="AO38" s="32"/>
      <c r="AP38" s="32"/>
      <c r="AQ38" s="32"/>
      <c r="AR38" s="32"/>
      <c r="AS38" s="32"/>
      <c r="AT38" s="32"/>
      <c r="AU38" s="32"/>
      <c r="AV38" s="34"/>
      <c r="AW38" s="35"/>
      <c r="AX38" s="5"/>
      <c r="AZ38" s="32"/>
      <c r="BB38" s="32"/>
      <c r="BC38" s="32"/>
      <c r="BD38" s="32"/>
      <c r="BE38" s="32"/>
      <c r="BF38" s="32"/>
      <c r="BG38" s="32"/>
      <c r="BH38" s="32"/>
      <c r="BI38" s="32"/>
      <c r="BJ38" s="32"/>
      <c r="BK38" s="32"/>
      <c r="BL38" s="34"/>
      <c r="BM38" s="35"/>
      <c r="BN38" s="5"/>
    </row>
    <row r="39" spans="2:66" ht="15.75">
      <c r="B39" s="115" t="s">
        <v>180</v>
      </c>
      <c r="C39" s="116"/>
      <c r="D39" s="116"/>
      <c r="E39" s="116"/>
      <c r="F39" s="117">
        <f>IF($F$31="","",(IF($N$29=1,($F$16*$F$10*$F$11*P39*$F$17)/(10^($F$31/$AJ$5)),(IF($N$29=2,($F$16*$F$10*$F$11*P39*$F$17)/(10^($F$31/$AJ$12)),($F$16*$F$10*$F$11*P39*$F$17)/(10^($F$31/$AJ$19)))))))</f>
        <v>0.019992519149444436</v>
      </c>
      <c r="G39" s="42"/>
      <c r="H39" s="49"/>
      <c r="I39" s="5"/>
      <c r="K39"/>
      <c r="L39" s="100" t="s">
        <v>104</v>
      </c>
      <c r="M39" s="100"/>
      <c r="N39" s="100"/>
      <c r="O39" s="100"/>
      <c r="P39" s="100">
        <f>IF(F15=0,"",(F19+AJ27)/F21^2)</f>
        <v>0.003796875</v>
      </c>
      <c r="Q39"/>
      <c r="R39"/>
      <c r="S39" s="32"/>
      <c r="T39" s="33"/>
      <c r="U39" s="32"/>
      <c r="V39" s="32"/>
      <c r="W39" s="32"/>
      <c r="X39" s="32"/>
      <c r="Y39" s="32"/>
      <c r="Z39" s="32"/>
      <c r="AA39" s="32"/>
      <c r="AB39" s="32"/>
      <c r="AC39" s="32"/>
      <c r="AD39" s="32"/>
      <c r="AE39" s="35"/>
      <c r="AF39" s="35"/>
      <c r="AG39" s="34"/>
      <c r="AI39"/>
      <c r="AJ39" s="32"/>
      <c r="AK39"/>
      <c r="AL39" s="32"/>
      <c r="AM39" s="32"/>
      <c r="AN39" s="32"/>
      <c r="AO39" s="32"/>
      <c r="AP39" s="32"/>
      <c r="AQ39" s="32"/>
      <c r="AR39" s="32"/>
      <c r="AS39" s="32"/>
      <c r="AT39" s="32"/>
      <c r="AU39" s="32"/>
      <c r="AV39" s="35"/>
      <c r="AW39" s="35"/>
      <c r="AX39" s="34"/>
      <c r="AZ39" s="32"/>
      <c r="BB39" s="32"/>
      <c r="BC39" s="32"/>
      <c r="BD39" s="32"/>
      <c r="BE39" s="32"/>
      <c r="BF39" s="32"/>
      <c r="BG39" s="32"/>
      <c r="BH39" s="32"/>
      <c r="BI39" s="32"/>
      <c r="BJ39" s="32"/>
      <c r="BK39" s="32"/>
      <c r="BL39" s="35"/>
      <c r="BM39" s="35"/>
      <c r="BN39" s="34"/>
    </row>
    <row r="40" spans="2:48" ht="6.75" customHeight="1">
      <c r="B40" s="105"/>
      <c r="C40" s="36"/>
      <c r="D40" s="36"/>
      <c r="E40" s="36"/>
      <c r="F40" s="106"/>
      <c r="G40" s="40"/>
      <c r="H40" s="50"/>
      <c r="I40" s="5"/>
      <c r="K40"/>
      <c r="L40"/>
      <c r="M40"/>
      <c r="N40"/>
      <c r="O40"/>
      <c r="P40"/>
      <c r="Q40"/>
      <c r="R40"/>
      <c r="S40"/>
      <c r="T40"/>
      <c r="U40"/>
      <c r="V40"/>
      <c r="W40"/>
      <c r="X40"/>
      <c r="Y40"/>
      <c r="Z40"/>
      <c r="AA40"/>
      <c r="AB40"/>
      <c r="AC40"/>
      <c r="AI40"/>
      <c r="AJ40"/>
      <c r="AK40"/>
      <c r="AL40"/>
      <c r="AM40"/>
      <c r="AN40"/>
      <c r="AO40"/>
      <c r="AP40"/>
      <c r="AQ40"/>
      <c r="AR40"/>
      <c r="AS40"/>
      <c r="AT40"/>
      <c r="AU40"/>
      <c r="AV40"/>
    </row>
    <row r="41" spans="2:48" ht="15.75">
      <c r="B41" s="118" t="s">
        <v>172</v>
      </c>
      <c r="C41" s="119"/>
      <c r="D41" s="119"/>
      <c r="E41" s="119"/>
      <c r="F41" s="120">
        <f>SUM(F33:F39)</f>
        <v>0.3573149293122942</v>
      </c>
      <c r="G41" s="43"/>
      <c r="H41" s="48"/>
      <c r="AI41"/>
      <c r="AJ41"/>
      <c r="AK41"/>
      <c r="AL41"/>
      <c r="AM41"/>
      <c r="AN41"/>
      <c r="AO41"/>
      <c r="AP41"/>
      <c r="AQ41"/>
      <c r="AR41"/>
      <c r="AS41"/>
      <c r="AT41"/>
      <c r="AU41"/>
      <c r="AV41"/>
    </row>
    <row r="42" spans="35:48" ht="15.75">
      <c r="AI42"/>
      <c r="AJ42"/>
      <c r="AK42"/>
      <c r="AL42"/>
      <c r="AM42"/>
      <c r="AN42"/>
      <c r="AO42"/>
      <c r="AP42"/>
      <c r="AQ42"/>
      <c r="AR42"/>
      <c r="AS42"/>
      <c r="AT42"/>
      <c r="AU42"/>
      <c r="AV42"/>
    </row>
    <row r="43" spans="1:49" ht="15.75">
      <c r="A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row>
    <row r="44" spans="35:48" ht="15.75">
      <c r="AI44"/>
      <c r="AJ44"/>
      <c r="AK44"/>
      <c r="AL44"/>
      <c r="AM44"/>
      <c r="AN44"/>
      <c r="AO44"/>
      <c r="AP44"/>
      <c r="AQ44"/>
      <c r="AR44"/>
      <c r="AS44"/>
      <c r="AT44"/>
      <c r="AU44"/>
      <c r="AV44"/>
    </row>
    <row r="45" spans="35:48" ht="15.75">
      <c r="AI45"/>
      <c r="AJ45"/>
      <c r="AK45"/>
      <c r="AL45"/>
      <c r="AM45"/>
      <c r="AN45"/>
      <c r="AO45"/>
      <c r="AP45"/>
      <c r="AQ45"/>
      <c r="AR45"/>
      <c r="AS45"/>
      <c r="AT45"/>
      <c r="AU45"/>
      <c r="AV45"/>
    </row>
    <row r="46" spans="35:48" ht="15.75">
      <c r="AI46"/>
      <c r="AJ46"/>
      <c r="AK46"/>
      <c r="AL46"/>
      <c r="AM46"/>
      <c r="AN46"/>
      <c r="AO46"/>
      <c r="AP46"/>
      <c r="AQ46"/>
      <c r="AR46"/>
      <c r="AS46"/>
      <c r="AT46"/>
      <c r="AU46"/>
      <c r="AV46"/>
    </row>
    <row r="47" spans="35:48" ht="15.75">
      <c r="AI47"/>
      <c r="AJ47"/>
      <c r="AK47"/>
      <c r="AL47"/>
      <c r="AM47"/>
      <c r="AN47"/>
      <c r="AO47"/>
      <c r="AP47"/>
      <c r="AQ47"/>
      <c r="AR47"/>
      <c r="AS47"/>
      <c r="AT47"/>
      <c r="AU47"/>
      <c r="AV47"/>
    </row>
    <row r="48" spans="35:48" ht="15.75">
      <c r="AI48"/>
      <c r="AJ48"/>
      <c r="AK48"/>
      <c r="AL48"/>
      <c r="AM48"/>
      <c r="AN48"/>
      <c r="AO48"/>
      <c r="AP48"/>
      <c r="AQ48"/>
      <c r="AR48"/>
      <c r="AS48"/>
      <c r="AT48"/>
      <c r="AU48"/>
      <c r="AV48"/>
    </row>
    <row r="49" spans="35:48" ht="15.75">
      <c r="AI49"/>
      <c r="AJ49"/>
      <c r="AK49"/>
      <c r="AL49"/>
      <c r="AM49"/>
      <c r="AN49"/>
      <c r="AO49"/>
      <c r="AP49"/>
      <c r="AQ49"/>
      <c r="AR49"/>
      <c r="AS49"/>
      <c r="AT49"/>
      <c r="AU49"/>
      <c r="AV49"/>
    </row>
    <row r="50" spans="35:48" ht="15.75">
      <c r="AI50"/>
      <c r="AJ50"/>
      <c r="AK50"/>
      <c r="AL50"/>
      <c r="AM50"/>
      <c r="AN50"/>
      <c r="AO50"/>
      <c r="AP50"/>
      <c r="AQ50"/>
      <c r="AR50"/>
      <c r="AS50"/>
      <c r="AT50"/>
      <c r="AU50"/>
      <c r="AV50"/>
    </row>
    <row r="51" spans="35:48" ht="15.75">
      <c r="AI51"/>
      <c r="AJ51"/>
      <c r="AK51"/>
      <c r="AL51"/>
      <c r="AM51"/>
      <c r="AN51"/>
      <c r="AO51"/>
      <c r="AP51"/>
      <c r="AQ51"/>
      <c r="AR51"/>
      <c r="AS51"/>
      <c r="AT51"/>
      <c r="AU51"/>
      <c r="AV51"/>
    </row>
    <row r="52" spans="35:48" ht="15.75">
      <c r="AI52"/>
      <c r="AJ52"/>
      <c r="AK52"/>
      <c r="AL52"/>
      <c r="AM52"/>
      <c r="AN52"/>
      <c r="AO52"/>
      <c r="AP52"/>
      <c r="AQ52"/>
      <c r="AR52"/>
      <c r="AS52"/>
      <c r="AT52"/>
      <c r="AU52"/>
      <c r="AV52"/>
    </row>
  </sheetData>
  <sheetProtection password="CC3B" sheet="1" objects="1" scenarios="1"/>
  <mergeCells count="19">
    <mergeCell ref="B9:D9"/>
    <mergeCell ref="B21:D21"/>
    <mergeCell ref="B15:D15"/>
    <mergeCell ref="B18:D18"/>
    <mergeCell ref="B16:D16"/>
    <mergeCell ref="B17:D17"/>
    <mergeCell ref="B10:D10"/>
    <mergeCell ref="B11:D11"/>
    <mergeCell ref="B12:D12"/>
    <mergeCell ref="L28:N28"/>
    <mergeCell ref="A2:H2"/>
    <mergeCell ref="H4:I4"/>
    <mergeCell ref="H5:I5"/>
    <mergeCell ref="H6:I6"/>
    <mergeCell ref="B13:D13"/>
    <mergeCell ref="F5:G5"/>
    <mergeCell ref="C4:D4"/>
    <mergeCell ref="C5:D5"/>
    <mergeCell ref="F6:G6"/>
  </mergeCells>
  <printOptions/>
  <pageMargins left="0.36" right="0.25" top="0.25" bottom="1" header="0" footer="0"/>
  <pageSetup horizontalDpi="300" verticalDpi="300" orientation="portrait" r:id="rId3"/>
  <legacyDrawing r:id="rId2"/>
</worksheet>
</file>

<file path=xl/worksheets/sheet9.xml><?xml version="1.0" encoding="utf-8"?>
<worksheet xmlns="http://schemas.openxmlformats.org/spreadsheetml/2006/main" xmlns:r="http://schemas.openxmlformats.org/officeDocument/2006/relationships">
  <dimension ref="B1:BN51"/>
  <sheetViews>
    <sheetView showGridLines="0" showRowColHeaders="0" workbookViewId="0" topLeftCell="A1">
      <selection activeCell="H24" sqref="H24"/>
    </sheetView>
  </sheetViews>
  <sheetFormatPr defaultColWidth="11.00390625" defaultRowHeight="15.75"/>
  <cols>
    <col min="1" max="1" width="2.50390625" style="2" customWidth="1"/>
    <col min="4" max="4" width="13.875" style="0" customWidth="1"/>
    <col min="5" max="5" width="4.25390625" style="0" customWidth="1"/>
    <col min="6" max="6" width="10.875" style="0" customWidth="1"/>
    <col min="7" max="7" width="13.625" style="0" customWidth="1"/>
    <col min="8" max="8" width="8.375" style="0" customWidth="1"/>
    <col min="9" max="9" width="4.50390625" style="0" customWidth="1"/>
    <col min="10" max="10" width="5.50390625" style="0" hidden="1" customWidth="1"/>
    <col min="11" max="11" width="5.625" style="5" hidden="1" customWidth="1"/>
    <col min="12" max="12" width="10.625" style="5" hidden="1" customWidth="1"/>
    <col min="13" max="14" width="5.625" style="5" hidden="1" customWidth="1"/>
    <col min="15" max="15" width="6.625" style="5" hidden="1" customWidth="1"/>
    <col min="16" max="17" width="6.875" style="5" hidden="1" customWidth="1"/>
    <col min="18" max="18" width="5.625" style="5" hidden="1" customWidth="1"/>
    <col min="19" max="19" width="6.00390625" style="5" hidden="1" customWidth="1"/>
    <col min="20" max="30" width="5.625" style="5" hidden="1" customWidth="1"/>
    <col min="31" max="31" width="6.125" style="5" hidden="1" customWidth="1"/>
    <col min="32" max="32" width="5.625" style="5" hidden="1" customWidth="1"/>
    <col min="33" max="33" width="7.25390625" style="5" hidden="1" customWidth="1"/>
    <col min="34" max="34" width="7.00390625" style="5" hidden="1" customWidth="1"/>
    <col min="35" max="35" width="6.25390625" style="5" hidden="1" customWidth="1"/>
    <col min="36" max="36" width="6.625" style="5" hidden="1" customWidth="1"/>
    <col min="37" max="37" width="6.50390625" style="5" hidden="1" customWidth="1"/>
    <col min="38" max="38" width="6.375" style="5" hidden="1" customWidth="1"/>
    <col min="39" max="39" width="7.125" style="5" customWidth="1"/>
    <col min="40" max="40" width="5.625" style="5" customWidth="1"/>
    <col min="41" max="41" width="6.125" style="5" customWidth="1"/>
    <col min="42" max="42" width="6.25390625" style="5" customWidth="1"/>
    <col min="43" max="43" width="6.75390625" style="5" customWidth="1"/>
    <col min="44" max="44" width="6.375" style="5" customWidth="1"/>
    <col min="45" max="45" width="6.75390625" style="5" customWidth="1"/>
    <col min="46" max="46" width="3.75390625" style="5" customWidth="1"/>
    <col min="47" max="47" width="6.125" style="5" customWidth="1"/>
    <col min="48" max="48" width="6.50390625" style="5" customWidth="1"/>
    <col min="49" max="49" width="6.375" style="5" customWidth="1"/>
    <col min="50" max="50" width="6.375" style="0" customWidth="1"/>
    <col min="51" max="51" width="9.50390625" style="0" customWidth="1"/>
    <col min="52" max="52" width="5.25390625" style="0" customWidth="1"/>
    <col min="53" max="53" width="7.375" style="0" customWidth="1"/>
    <col min="54" max="54" width="5.875" style="0" customWidth="1"/>
    <col min="55" max="55" width="6.375" style="0" customWidth="1"/>
    <col min="56" max="56" width="6.875" style="0" customWidth="1"/>
    <col min="57" max="57" width="7.625" style="0" customWidth="1"/>
    <col min="58" max="58" width="4.625" style="0" customWidth="1"/>
    <col min="59" max="59" width="7.75390625" style="0" customWidth="1"/>
    <col min="60" max="60" width="5.00390625" style="0" customWidth="1"/>
    <col min="61" max="61" width="7.25390625" style="0" customWidth="1"/>
    <col min="62" max="62" width="7.125" style="0" customWidth="1"/>
    <col min="63" max="63" width="7.625" style="0" customWidth="1"/>
    <col min="64" max="64" width="6.625" style="0" customWidth="1"/>
    <col min="65" max="65" width="6.25390625" style="0" customWidth="1"/>
    <col min="66" max="66" width="6.75390625" style="0" customWidth="1"/>
  </cols>
  <sheetData>
    <row r="1" spans="8:30" ht="21.75" customHeight="1">
      <c r="H1" s="5"/>
      <c r="I1" s="5"/>
      <c r="J1" s="5"/>
      <c r="K1" s="8"/>
      <c r="L1" s="8" t="s">
        <v>123</v>
      </c>
      <c r="M1" s="8"/>
      <c r="N1" s="8"/>
      <c r="O1" s="8"/>
      <c r="P1" s="8"/>
      <c r="Q1" s="8"/>
      <c r="R1" s="8"/>
      <c r="S1" s="8"/>
      <c r="T1" s="8"/>
      <c r="U1" s="8"/>
      <c r="V1" s="8"/>
      <c r="W1" s="8"/>
      <c r="X1" s="8"/>
      <c r="Y1" s="8"/>
      <c r="Z1" s="8"/>
      <c r="AA1" s="8"/>
      <c r="AB1" s="8"/>
      <c r="AC1" s="8"/>
      <c r="AD1" s="8"/>
    </row>
    <row r="2" spans="2:36" ht="15.75">
      <c r="B2" s="110" t="s">
        <v>159</v>
      </c>
      <c r="C2" s="110"/>
      <c r="D2" s="110"/>
      <c r="E2" s="110"/>
      <c r="F2" s="110"/>
      <c r="G2" s="110"/>
      <c r="H2" s="5"/>
      <c r="I2" s="5"/>
      <c r="J2" s="5"/>
      <c r="K2" s="8" t="s">
        <v>16</v>
      </c>
      <c r="L2" s="8"/>
      <c r="M2" s="8">
        <v>1</v>
      </c>
      <c r="N2" s="8">
        <v>2</v>
      </c>
      <c r="O2" s="8">
        <v>3</v>
      </c>
      <c r="P2" s="8">
        <v>4</v>
      </c>
      <c r="Q2" s="8">
        <v>5</v>
      </c>
      <c r="R2" s="8">
        <v>6</v>
      </c>
      <c r="S2" s="8">
        <v>7</v>
      </c>
      <c r="T2" s="8">
        <v>8</v>
      </c>
      <c r="U2" s="8">
        <v>9</v>
      </c>
      <c r="V2" s="8">
        <v>10</v>
      </c>
      <c r="W2" s="8">
        <v>11</v>
      </c>
      <c r="X2" s="8">
        <v>12</v>
      </c>
      <c r="Y2" s="8">
        <v>13</v>
      </c>
      <c r="Z2" s="8">
        <v>14</v>
      </c>
      <c r="AA2" s="8">
        <v>15</v>
      </c>
      <c r="AB2" s="8">
        <v>16</v>
      </c>
      <c r="AC2" s="8">
        <v>17</v>
      </c>
      <c r="AD2" s="8">
        <v>18</v>
      </c>
      <c r="AH2" s="5" t="s">
        <v>97</v>
      </c>
      <c r="AI2" s="5" t="s">
        <v>98</v>
      </c>
      <c r="AJ2" s="5" t="s">
        <v>95</v>
      </c>
    </row>
    <row r="3" spans="2:35" ht="15.75">
      <c r="B3" s="16"/>
      <c r="C3" s="16"/>
      <c r="D3" s="16"/>
      <c r="E3" s="16"/>
      <c r="F3" s="16"/>
      <c r="H3" s="7"/>
      <c r="I3" s="7"/>
      <c r="J3" s="7"/>
      <c r="K3" s="8">
        <v>1</v>
      </c>
      <c r="L3" s="9" t="s">
        <v>94</v>
      </c>
      <c r="M3" s="9">
        <v>1</v>
      </c>
      <c r="N3" s="9">
        <v>2</v>
      </c>
      <c r="O3" s="9">
        <v>3</v>
      </c>
      <c r="P3" s="9">
        <v>4</v>
      </c>
      <c r="Q3" s="9">
        <v>5</v>
      </c>
      <c r="R3" s="9">
        <v>6</v>
      </c>
      <c r="S3" s="9">
        <v>7</v>
      </c>
      <c r="T3" s="9">
        <v>8</v>
      </c>
      <c r="U3" s="9">
        <v>9</v>
      </c>
      <c r="V3" s="9">
        <v>10</v>
      </c>
      <c r="W3" s="9">
        <v>14</v>
      </c>
      <c r="X3" s="9">
        <v>18</v>
      </c>
      <c r="Y3" s="9">
        <v>20</v>
      </c>
      <c r="Z3" s="9">
        <v>23</v>
      </c>
      <c r="AA3" s="6">
        <v>25</v>
      </c>
      <c r="AB3" s="9">
        <v>30</v>
      </c>
      <c r="AC3" s="9">
        <v>40</v>
      </c>
      <c r="AD3" s="9">
        <v>50</v>
      </c>
      <c r="AG3" s="5" t="s">
        <v>16</v>
      </c>
      <c r="AH3" s="5">
        <f>LOOKUP(F14,M3:AD3,M2:AD2)</f>
        <v>14</v>
      </c>
      <c r="AI3" s="5">
        <f>AH3+1</f>
        <v>15</v>
      </c>
    </row>
    <row r="4" spans="2:35" ht="15.75">
      <c r="B4" t="s">
        <v>17</v>
      </c>
      <c r="C4" s="166" t="s">
        <v>20</v>
      </c>
      <c r="D4" s="166"/>
      <c r="E4" s="16"/>
      <c r="F4" s="12" t="s">
        <v>9</v>
      </c>
      <c r="G4" s="12"/>
      <c r="H4" s="162" t="s">
        <v>160</v>
      </c>
      <c r="I4" s="162"/>
      <c r="J4" s="29"/>
      <c r="K4" s="8">
        <v>2</v>
      </c>
      <c r="L4" s="10" t="s">
        <v>93</v>
      </c>
      <c r="M4" s="9">
        <v>13.9</v>
      </c>
      <c r="N4" s="9">
        <v>18.8</v>
      </c>
      <c r="O4" s="6">
        <v>22.6</v>
      </c>
      <c r="P4" s="9">
        <v>26.95</v>
      </c>
      <c r="Q4" s="9">
        <v>30</v>
      </c>
      <c r="R4" s="9">
        <v>32.6</v>
      </c>
      <c r="S4" s="9">
        <v>34.6</v>
      </c>
      <c r="T4" s="9">
        <v>36.1</v>
      </c>
      <c r="U4" s="9">
        <v>37.8</v>
      </c>
      <c r="V4" s="9">
        <v>39</v>
      </c>
      <c r="W4" s="9">
        <v>42</v>
      </c>
      <c r="X4" s="9">
        <v>44.35</v>
      </c>
      <c r="Y4" s="9">
        <v>45.2</v>
      </c>
      <c r="Z4" s="9">
        <v>46.3</v>
      </c>
      <c r="AA4" s="9">
        <v>46.7</v>
      </c>
      <c r="AB4" s="9">
        <v>47.8</v>
      </c>
      <c r="AC4" s="9">
        <v>49.1</v>
      </c>
      <c r="AD4" s="9">
        <v>50</v>
      </c>
      <c r="AG4" s="5" t="s">
        <v>96</v>
      </c>
      <c r="AH4" s="5">
        <f>LOOKUP(AH3,M2:AD2,M3:AD3)</f>
        <v>23</v>
      </c>
      <c r="AI4" s="5">
        <f>LOOKUP(AI3,M2:AD2,M3:AD3)</f>
        <v>25</v>
      </c>
    </row>
    <row r="5" spans="2:36" ht="15.75">
      <c r="B5" t="s">
        <v>19</v>
      </c>
      <c r="C5" s="167" t="s">
        <v>161</v>
      </c>
      <c r="D5" s="167"/>
      <c r="E5" s="16"/>
      <c r="F5" s="168" t="s">
        <v>10</v>
      </c>
      <c r="G5" s="168"/>
      <c r="H5" s="169" t="s">
        <v>162</v>
      </c>
      <c r="I5" s="169"/>
      <c r="J5" s="29"/>
      <c r="AG5" s="5" t="s">
        <v>99</v>
      </c>
      <c r="AH5" s="5">
        <f>LOOKUP(AH4,M3:AD3,M4:AD4)</f>
        <v>46.3</v>
      </c>
      <c r="AI5" s="5">
        <f>LOOKUP(AI4,M3:AD3,M4:AD4)</f>
        <v>46.7</v>
      </c>
      <c r="AJ5" s="5">
        <f>((AI5-AH5)/(AI4-AH4))*(F14-AH4)+AH5</f>
        <v>46.3</v>
      </c>
    </row>
    <row r="6" spans="2:10" ht="15.75">
      <c r="B6" t="s">
        <v>18</v>
      </c>
      <c r="C6" s="20">
        <v>38372</v>
      </c>
      <c r="D6" s="21"/>
      <c r="E6" s="16"/>
      <c r="F6" s="168" t="s">
        <v>11</v>
      </c>
      <c r="G6" s="168"/>
      <c r="H6" s="169">
        <v>22</v>
      </c>
      <c r="I6" s="169"/>
      <c r="J6" s="29"/>
    </row>
    <row r="7" spans="2:29" ht="15.75">
      <c r="B7" s="17"/>
      <c r="C7" s="17"/>
      <c r="D7" s="17"/>
      <c r="E7" s="16"/>
      <c r="F7" s="16"/>
      <c r="H7" s="5"/>
      <c r="I7" s="5"/>
      <c r="J7" s="5"/>
      <c r="L7"/>
      <c r="M7"/>
      <c r="N7"/>
      <c r="O7"/>
      <c r="P7"/>
      <c r="Q7"/>
      <c r="R7"/>
      <c r="S7"/>
      <c r="T7"/>
      <c r="U7"/>
      <c r="V7"/>
      <c r="W7"/>
      <c r="X7"/>
      <c r="Y7"/>
      <c r="Z7"/>
      <c r="AA7"/>
      <c r="AB7"/>
      <c r="AC7"/>
    </row>
    <row r="8" spans="2:30" ht="24.75" customHeight="1">
      <c r="B8" s="16"/>
      <c r="C8" s="16"/>
      <c r="D8" s="16"/>
      <c r="E8" s="51"/>
      <c r="F8" s="16"/>
      <c r="H8" s="5"/>
      <c r="I8" s="5"/>
      <c r="J8" s="5"/>
      <c r="K8" s="8"/>
      <c r="L8" s="8" t="s">
        <v>124</v>
      </c>
      <c r="M8" s="8"/>
      <c r="N8" s="8"/>
      <c r="O8" s="8"/>
      <c r="P8" s="8"/>
      <c r="Q8" s="8"/>
      <c r="R8" s="8"/>
      <c r="S8" s="8"/>
      <c r="T8" s="8"/>
      <c r="U8" s="8"/>
      <c r="V8" s="8"/>
      <c r="W8" s="8"/>
      <c r="X8" s="8"/>
      <c r="Y8" s="8"/>
      <c r="Z8" s="8"/>
      <c r="AA8" s="8"/>
      <c r="AB8" s="8"/>
      <c r="AC8" s="8"/>
      <c r="AD8" s="8"/>
    </row>
    <row r="9" spans="2:48" ht="15.75">
      <c r="B9" s="170" t="s">
        <v>68</v>
      </c>
      <c r="C9" s="170"/>
      <c r="D9" s="170"/>
      <c r="E9" s="11"/>
      <c r="F9" s="11" t="s">
        <v>14</v>
      </c>
      <c r="H9" s="5"/>
      <c r="I9" s="5"/>
      <c r="J9" s="5"/>
      <c r="K9" s="8" t="s">
        <v>16</v>
      </c>
      <c r="L9" s="8"/>
      <c r="M9" s="8">
        <v>1</v>
      </c>
      <c r="N9" s="8">
        <v>2</v>
      </c>
      <c r="O9" s="8">
        <v>3</v>
      </c>
      <c r="P9" s="8">
        <v>4</v>
      </c>
      <c r="Q9" s="8">
        <v>5</v>
      </c>
      <c r="R9" s="8">
        <v>6</v>
      </c>
      <c r="S9" s="8">
        <v>7</v>
      </c>
      <c r="T9" s="8">
        <v>8</v>
      </c>
      <c r="U9" s="8">
        <v>9</v>
      </c>
      <c r="V9" s="8">
        <v>10</v>
      </c>
      <c r="W9" s="8">
        <v>11</v>
      </c>
      <c r="X9" s="8">
        <v>12</v>
      </c>
      <c r="Y9" s="8">
        <v>13</v>
      </c>
      <c r="Z9" s="8">
        <v>14</v>
      </c>
      <c r="AA9" s="8">
        <v>15</v>
      </c>
      <c r="AB9" s="8">
        <v>16</v>
      </c>
      <c r="AC9" s="8">
        <v>17</v>
      </c>
      <c r="AD9" s="8">
        <v>18</v>
      </c>
      <c r="AH9" s="5" t="s">
        <v>97</v>
      </c>
      <c r="AI9" s="5" t="s">
        <v>98</v>
      </c>
      <c r="AJ9" s="5" t="s">
        <v>95</v>
      </c>
      <c r="AK9"/>
      <c r="AL9"/>
      <c r="AM9"/>
      <c r="AN9"/>
      <c r="AO9"/>
      <c r="AP9"/>
      <c r="AQ9"/>
      <c r="AR9"/>
      <c r="AS9"/>
      <c r="AT9"/>
      <c r="AU9"/>
      <c r="AV9"/>
    </row>
    <row r="10" spans="2:48" ht="18.75" customHeight="1" hidden="1">
      <c r="B10" s="168"/>
      <c r="C10" s="168"/>
      <c r="D10" s="168"/>
      <c r="F10" s="29"/>
      <c r="H10" s="5"/>
      <c r="I10" s="5"/>
      <c r="J10" s="5"/>
      <c r="K10" s="8">
        <v>1</v>
      </c>
      <c r="L10" s="9" t="s">
        <v>94</v>
      </c>
      <c r="M10" s="9">
        <v>1</v>
      </c>
      <c r="N10" s="9">
        <v>2</v>
      </c>
      <c r="O10" s="9">
        <v>3</v>
      </c>
      <c r="P10" s="9">
        <v>4</v>
      </c>
      <c r="Q10" s="9">
        <v>5</v>
      </c>
      <c r="R10" s="9">
        <v>6</v>
      </c>
      <c r="S10" s="9">
        <v>7</v>
      </c>
      <c r="T10" s="9">
        <v>8</v>
      </c>
      <c r="U10" s="9">
        <v>9</v>
      </c>
      <c r="V10" s="9">
        <v>10</v>
      </c>
      <c r="W10" s="9">
        <v>14</v>
      </c>
      <c r="X10" s="9">
        <v>18</v>
      </c>
      <c r="Y10" s="9">
        <v>20</v>
      </c>
      <c r="Z10" s="9">
        <v>23</v>
      </c>
      <c r="AA10" s="6">
        <v>25</v>
      </c>
      <c r="AB10" s="9">
        <v>30</v>
      </c>
      <c r="AC10" s="9">
        <v>40</v>
      </c>
      <c r="AD10" s="9">
        <v>50</v>
      </c>
      <c r="AG10" s="5" t="s">
        <v>16</v>
      </c>
      <c r="AH10" s="5">
        <f>LOOKUP(F14,M10:AD10,M9:AD9)</f>
        <v>14</v>
      </c>
      <c r="AI10" s="5">
        <f>IF(AH10=18,18,AH10+1)</f>
        <v>15</v>
      </c>
      <c r="AK10"/>
      <c r="AL10"/>
      <c r="AM10"/>
      <c r="AN10"/>
      <c r="AO10"/>
      <c r="AP10"/>
      <c r="AQ10"/>
      <c r="AR10"/>
      <c r="AS10"/>
      <c r="AT10"/>
      <c r="AU10"/>
      <c r="AV10"/>
    </row>
    <row r="11" spans="2:48" ht="19.5" customHeight="1">
      <c r="B11" s="168" t="s">
        <v>69</v>
      </c>
      <c r="C11" s="168"/>
      <c r="D11" s="168"/>
      <c r="F11" s="14">
        <v>1</v>
      </c>
      <c r="H11" s="5"/>
      <c r="I11" s="5"/>
      <c r="J11" s="5"/>
      <c r="K11" s="8">
        <v>2</v>
      </c>
      <c r="L11" s="10" t="s">
        <v>93</v>
      </c>
      <c r="M11" s="9">
        <v>10</v>
      </c>
      <c r="N11" s="9">
        <v>13.5</v>
      </c>
      <c r="O11" s="6">
        <v>16.3</v>
      </c>
      <c r="P11" s="9">
        <v>19.4</v>
      </c>
      <c r="Q11" s="9">
        <v>21.6</v>
      </c>
      <c r="R11" s="9">
        <v>22.8</v>
      </c>
      <c r="S11" s="9">
        <v>23.75</v>
      </c>
      <c r="T11" s="9">
        <v>25</v>
      </c>
      <c r="U11" s="9">
        <v>25.8</v>
      </c>
      <c r="V11" s="9">
        <v>26.6</v>
      </c>
      <c r="W11" s="9">
        <v>28.6</v>
      </c>
      <c r="X11" s="9">
        <v>29.3</v>
      </c>
      <c r="Y11" s="9">
        <v>29.7</v>
      </c>
      <c r="Z11" s="9">
        <v>30</v>
      </c>
      <c r="AA11" s="9">
        <v>30.1</v>
      </c>
      <c r="AB11" s="9">
        <v>30.4</v>
      </c>
      <c r="AC11" s="9">
        <v>30.4</v>
      </c>
      <c r="AD11" s="9">
        <v>30.3</v>
      </c>
      <c r="AG11" s="5" t="s">
        <v>96</v>
      </c>
      <c r="AH11" s="5">
        <f>LOOKUP(AH10,M9:AD9,M10:AD10)</f>
        <v>23</v>
      </c>
      <c r="AI11" s="5">
        <f>LOOKUP(AI10,M9:AD9,M10:AD10)</f>
        <v>25</v>
      </c>
      <c r="AK11"/>
      <c r="AL11"/>
      <c r="AM11"/>
      <c r="AN11"/>
      <c r="AO11"/>
      <c r="AP11"/>
      <c r="AQ11"/>
      <c r="AR11"/>
      <c r="AS11"/>
      <c r="AT11"/>
      <c r="AU11"/>
      <c r="AV11"/>
    </row>
    <row r="12" spans="2:48" ht="19.5" customHeight="1">
      <c r="B12" s="168" t="s">
        <v>12</v>
      </c>
      <c r="C12" s="168"/>
      <c r="D12" s="168"/>
      <c r="F12" s="14" t="s">
        <v>113</v>
      </c>
      <c r="H12" s="5"/>
      <c r="I12" s="5"/>
      <c r="J12" s="5"/>
      <c r="AG12" s="5" t="s">
        <v>99</v>
      </c>
      <c r="AH12" s="5">
        <f>LOOKUP(AH11,M10:AD10,M11:AD11)</f>
        <v>30</v>
      </c>
      <c r="AI12" s="5">
        <f>LOOKUP(AI11,M10:AD10,M11:AD11)</f>
        <v>30.1</v>
      </c>
      <c r="AJ12" s="5">
        <f>((AI12-AH12)/(AI11-AH11))*(F14-AH11)+AH12</f>
        <v>30</v>
      </c>
      <c r="AK12"/>
      <c r="AL12"/>
      <c r="AM12"/>
      <c r="AN12"/>
      <c r="AO12"/>
      <c r="AP12"/>
      <c r="AQ12"/>
      <c r="AR12"/>
      <c r="AS12"/>
      <c r="AT12"/>
      <c r="AU12"/>
      <c r="AV12"/>
    </row>
    <row r="13" spans="2:48" ht="19.5" customHeight="1">
      <c r="B13" s="168" t="s">
        <v>70</v>
      </c>
      <c r="C13" s="168"/>
      <c r="D13" s="168"/>
      <c r="F13" s="14">
        <v>0.4</v>
      </c>
      <c r="H13" s="5"/>
      <c r="I13" s="5"/>
      <c r="J13" s="5"/>
      <c r="K13"/>
      <c r="L13"/>
      <c r="M13"/>
      <c r="N13"/>
      <c r="O13"/>
      <c r="P13"/>
      <c r="Q13"/>
      <c r="R13"/>
      <c r="S13"/>
      <c r="T13"/>
      <c r="U13"/>
      <c r="V13"/>
      <c r="W13"/>
      <c r="X13"/>
      <c r="Y13"/>
      <c r="Z13"/>
      <c r="AA13"/>
      <c r="AB13"/>
      <c r="AC13"/>
      <c r="AI13"/>
      <c r="AJ13"/>
      <c r="AK13"/>
      <c r="AL13"/>
      <c r="AM13"/>
      <c r="AN13"/>
      <c r="AO13"/>
      <c r="AP13"/>
      <c r="AQ13"/>
      <c r="AR13"/>
      <c r="AS13"/>
      <c r="AT13"/>
      <c r="AU13"/>
      <c r="AV13"/>
    </row>
    <row r="14" spans="2:48" ht="19.5" customHeight="1">
      <c r="B14" s="28" t="s">
        <v>71</v>
      </c>
      <c r="C14" s="28"/>
      <c r="D14" s="28"/>
      <c r="E14" s="28"/>
      <c r="F14" s="14">
        <v>23</v>
      </c>
      <c r="H14" s="5"/>
      <c r="I14" s="5"/>
      <c r="J14" s="5"/>
      <c r="K14"/>
      <c r="L14"/>
      <c r="M14"/>
      <c r="N14"/>
      <c r="O14"/>
      <c r="P14"/>
      <c r="Q14"/>
      <c r="R14"/>
      <c r="S14"/>
      <c r="T14"/>
      <c r="U14"/>
      <c r="V14"/>
      <c r="W14"/>
      <c r="X14"/>
      <c r="Y14"/>
      <c r="Z14"/>
      <c r="AA14"/>
      <c r="AB14"/>
      <c r="AC14"/>
      <c r="AI14"/>
      <c r="AJ14"/>
      <c r="AK14"/>
      <c r="AL14"/>
      <c r="AM14"/>
      <c r="AN14"/>
      <c r="AO14"/>
      <c r="AP14"/>
      <c r="AQ14"/>
      <c r="AR14"/>
      <c r="AS14"/>
      <c r="AT14"/>
      <c r="AU14"/>
      <c r="AV14"/>
    </row>
    <row r="15" spans="2:48" ht="19.5" customHeight="1" hidden="1">
      <c r="B15" s="171"/>
      <c r="C15" s="171"/>
      <c r="D15" s="171"/>
      <c r="E15" s="3"/>
      <c r="F15" s="14"/>
      <c r="H15" s="5"/>
      <c r="I15" s="5"/>
      <c r="J15" s="5"/>
      <c r="K15" s="8"/>
      <c r="L15" s="8" t="s">
        <v>125</v>
      </c>
      <c r="M15" s="8"/>
      <c r="N15" s="8"/>
      <c r="O15" s="8"/>
      <c r="P15" s="8"/>
      <c r="Q15" s="8"/>
      <c r="R15" s="8"/>
      <c r="S15" s="8"/>
      <c r="T15" s="8"/>
      <c r="U15" s="8"/>
      <c r="V15" s="8"/>
      <c r="W15" s="8"/>
      <c r="X15" s="8"/>
      <c r="Y15" s="8"/>
      <c r="Z15" s="8"/>
      <c r="AA15" s="8"/>
      <c r="AB15" s="8"/>
      <c r="AC15" s="8"/>
      <c r="AD15" s="8"/>
      <c r="AK15"/>
      <c r="AL15"/>
      <c r="AM15"/>
      <c r="AN15"/>
      <c r="AO15"/>
      <c r="AP15"/>
      <c r="AQ15"/>
      <c r="AR15"/>
      <c r="AS15"/>
      <c r="AT15"/>
      <c r="AU15"/>
      <c r="AV15"/>
    </row>
    <row r="16" spans="2:48" ht="19.5" customHeight="1">
      <c r="B16" s="168" t="s">
        <v>72</v>
      </c>
      <c r="C16" s="168"/>
      <c r="D16" s="168"/>
      <c r="E16" s="3"/>
      <c r="F16" s="30">
        <v>1000000</v>
      </c>
      <c r="H16" s="5"/>
      <c r="I16" s="5"/>
      <c r="J16" s="5"/>
      <c r="K16" s="8" t="s">
        <v>16</v>
      </c>
      <c r="L16" s="8"/>
      <c r="M16" s="8">
        <v>1</v>
      </c>
      <c r="N16" s="8">
        <v>2</v>
      </c>
      <c r="O16" s="8">
        <v>3</v>
      </c>
      <c r="P16" s="8">
        <v>4</v>
      </c>
      <c r="Q16" s="8">
        <v>5</v>
      </c>
      <c r="R16" s="8">
        <v>6</v>
      </c>
      <c r="S16" s="8">
        <v>7</v>
      </c>
      <c r="T16" s="8">
        <v>8</v>
      </c>
      <c r="U16" s="8">
        <v>9</v>
      </c>
      <c r="V16" s="8">
        <v>10</v>
      </c>
      <c r="W16" s="8">
        <v>11</v>
      </c>
      <c r="X16" s="8">
        <v>12</v>
      </c>
      <c r="Y16" s="8">
        <v>13</v>
      </c>
      <c r="Z16" s="8">
        <v>14</v>
      </c>
      <c r="AA16" s="8">
        <v>15</v>
      </c>
      <c r="AB16" s="8">
        <v>16</v>
      </c>
      <c r="AC16" s="8">
        <v>17</v>
      </c>
      <c r="AD16" s="8">
        <v>18</v>
      </c>
      <c r="AH16" s="5" t="s">
        <v>97</v>
      </c>
      <c r="AI16" s="5" t="s">
        <v>98</v>
      </c>
      <c r="AJ16" s="5" t="s">
        <v>95</v>
      </c>
      <c r="AK16"/>
      <c r="AL16"/>
      <c r="AM16"/>
      <c r="AN16"/>
      <c r="AO16"/>
      <c r="AP16"/>
      <c r="AQ16"/>
      <c r="AR16"/>
      <c r="AS16"/>
      <c r="AT16"/>
      <c r="AU16"/>
      <c r="AV16"/>
    </row>
    <row r="17" spans="2:48" ht="19.5" customHeight="1">
      <c r="B17" s="168" t="s">
        <v>73</v>
      </c>
      <c r="C17" s="168"/>
      <c r="D17" s="168"/>
      <c r="E17" s="3"/>
      <c r="F17" s="14">
        <v>2</v>
      </c>
      <c r="H17" s="5"/>
      <c r="I17" s="5"/>
      <c r="J17" s="5"/>
      <c r="K17" s="8">
        <v>1</v>
      </c>
      <c r="L17" s="9" t="s">
        <v>94</v>
      </c>
      <c r="M17" s="9">
        <v>1</v>
      </c>
      <c r="N17" s="9">
        <v>2</v>
      </c>
      <c r="O17" s="9">
        <v>3</v>
      </c>
      <c r="P17" s="9">
        <v>4</v>
      </c>
      <c r="Q17" s="9">
        <v>5</v>
      </c>
      <c r="R17" s="9">
        <v>6</v>
      </c>
      <c r="S17" s="9">
        <v>7</v>
      </c>
      <c r="T17" s="9">
        <v>8</v>
      </c>
      <c r="U17" s="9">
        <v>9</v>
      </c>
      <c r="V17" s="9">
        <v>10</v>
      </c>
      <c r="W17" s="9">
        <v>14</v>
      </c>
      <c r="X17" s="9">
        <v>18</v>
      </c>
      <c r="Y17" s="9">
        <v>20</v>
      </c>
      <c r="Z17" s="9">
        <v>23</v>
      </c>
      <c r="AA17" s="6">
        <v>25</v>
      </c>
      <c r="AB17" s="9">
        <v>30</v>
      </c>
      <c r="AC17" s="9">
        <v>40</v>
      </c>
      <c r="AD17" s="9">
        <v>50</v>
      </c>
      <c r="AG17" s="5" t="s">
        <v>16</v>
      </c>
      <c r="AH17" s="5">
        <f>LOOKUP(F14,M17:AD17,M16:AD16)</f>
        <v>14</v>
      </c>
      <c r="AI17" s="5">
        <f>IF(AH17=18,18,AH17+1)</f>
        <v>15</v>
      </c>
      <c r="AK17"/>
      <c r="AL17"/>
      <c r="AM17"/>
      <c r="AN17"/>
      <c r="AO17"/>
      <c r="AP17"/>
      <c r="AQ17"/>
      <c r="AR17"/>
      <c r="AS17"/>
      <c r="AT17"/>
      <c r="AU17"/>
      <c r="AV17"/>
    </row>
    <row r="18" spans="2:48" ht="17.25" customHeight="1">
      <c r="B18" s="168" t="s">
        <v>74</v>
      </c>
      <c r="C18" s="168"/>
      <c r="D18" s="168"/>
      <c r="E18" s="15"/>
      <c r="F18" s="14">
        <v>0.001</v>
      </c>
      <c r="H18" s="5"/>
      <c r="I18" s="5"/>
      <c r="J18" s="5"/>
      <c r="K18" s="8">
        <v>2</v>
      </c>
      <c r="L18" s="10" t="s">
        <v>93</v>
      </c>
      <c r="M18" s="9">
        <v>2</v>
      </c>
      <c r="N18" s="9">
        <v>3.7</v>
      </c>
      <c r="O18" s="6">
        <v>4.5</v>
      </c>
      <c r="P18" s="9">
        <v>4.95</v>
      </c>
      <c r="Q18" s="9">
        <v>5.2</v>
      </c>
      <c r="R18" s="9">
        <v>5.3</v>
      </c>
      <c r="S18" s="9">
        <v>5.31</v>
      </c>
      <c r="T18" s="9">
        <v>5.48</v>
      </c>
      <c r="U18" s="9">
        <v>5.5</v>
      </c>
      <c r="V18" s="9">
        <v>5.57</v>
      </c>
      <c r="W18" s="9">
        <v>5.57</v>
      </c>
      <c r="X18" s="9">
        <v>5.5</v>
      </c>
      <c r="Y18" s="9">
        <v>5.48</v>
      </c>
      <c r="Z18" s="9">
        <v>5.48</v>
      </c>
      <c r="AA18" s="9">
        <v>5.31</v>
      </c>
      <c r="AB18" s="9">
        <v>5.3</v>
      </c>
      <c r="AC18" s="9">
        <v>5.2</v>
      </c>
      <c r="AD18" s="9">
        <v>5.1</v>
      </c>
      <c r="AG18" s="5" t="s">
        <v>96</v>
      </c>
      <c r="AH18" s="5">
        <f>LOOKUP(AH17,M16:AD16,M17:AD17)</f>
        <v>23</v>
      </c>
      <c r="AI18" s="5">
        <f>LOOKUP(AI17,M16:AD16,M17:AD17)</f>
        <v>25</v>
      </c>
      <c r="AK18"/>
      <c r="AL18"/>
      <c r="AM18"/>
      <c r="AN18"/>
      <c r="AO18"/>
      <c r="AP18"/>
      <c r="AQ18"/>
      <c r="AR18"/>
      <c r="AS18"/>
      <c r="AT18"/>
      <c r="AU18"/>
      <c r="AV18"/>
    </row>
    <row r="19" spans="2:48" ht="17.25" customHeight="1" hidden="1">
      <c r="B19" s="12"/>
      <c r="C19" s="3"/>
      <c r="D19" s="3"/>
      <c r="E19" s="3"/>
      <c r="F19" s="14"/>
      <c r="H19" s="5"/>
      <c r="I19" s="5"/>
      <c r="J19" s="5"/>
      <c r="AG19" s="5" t="s">
        <v>99</v>
      </c>
      <c r="AH19" s="5">
        <f>LOOKUP(AH18,M17:AD17,M18:AD18)</f>
        <v>5.48</v>
      </c>
      <c r="AI19" s="5">
        <f>LOOKUP(AI18,M17:AD17,M18:AD18)</f>
        <v>5.31</v>
      </c>
      <c r="AJ19" s="5">
        <f>((AI19-AH19)/(AI18-AH18))*(F14-AH18)+AH19</f>
        <v>5.48</v>
      </c>
      <c r="AK19"/>
      <c r="AL19"/>
      <c r="AM19"/>
      <c r="AN19"/>
      <c r="AO19"/>
      <c r="AP19"/>
      <c r="AQ19"/>
      <c r="AR19"/>
      <c r="AS19"/>
      <c r="AT19"/>
      <c r="AU19"/>
      <c r="AV19"/>
    </row>
    <row r="20" spans="2:48" ht="18" customHeight="1">
      <c r="B20" s="19" t="s">
        <v>76</v>
      </c>
      <c r="C20" s="11"/>
      <c r="D20" s="11"/>
      <c r="E20" s="3"/>
      <c r="F20" s="55">
        <v>0.013</v>
      </c>
      <c r="H20" s="5"/>
      <c r="I20" s="5"/>
      <c r="J20" s="5"/>
      <c r="K20"/>
      <c r="L20"/>
      <c r="M20"/>
      <c r="N20"/>
      <c r="O20"/>
      <c r="P20"/>
      <c r="Q20"/>
      <c r="R20"/>
      <c r="S20"/>
      <c r="T20"/>
      <c r="U20"/>
      <c r="V20"/>
      <c r="W20"/>
      <c r="X20"/>
      <c r="Y20"/>
      <c r="Z20"/>
      <c r="AA20"/>
      <c r="AB20"/>
      <c r="AC20"/>
      <c r="AI20"/>
      <c r="AJ20"/>
      <c r="AK20"/>
      <c r="AL20"/>
      <c r="AM20"/>
      <c r="AN20"/>
      <c r="AO20"/>
      <c r="AP20"/>
      <c r="AQ20"/>
      <c r="AR20"/>
      <c r="AS20"/>
      <c r="AT20"/>
      <c r="AU20"/>
      <c r="AV20"/>
    </row>
    <row r="21" spans="2:48" ht="19.5" customHeight="1" hidden="1">
      <c r="B21" s="168"/>
      <c r="C21" s="168"/>
      <c r="D21" s="168"/>
      <c r="E21" s="3"/>
      <c r="F21" s="13"/>
      <c r="H21" s="5"/>
      <c r="I21" s="5"/>
      <c r="J21" s="5"/>
      <c r="K21"/>
      <c r="L21"/>
      <c r="M21"/>
      <c r="N21"/>
      <c r="O21"/>
      <c r="P21"/>
      <c r="Q21"/>
      <c r="R21"/>
      <c r="S21"/>
      <c r="T21"/>
      <c r="U21"/>
      <c r="V21"/>
      <c r="W21"/>
      <c r="X21"/>
      <c r="Y21"/>
      <c r="Z21"/>
      <c r="AA21"/>
      <c r="AB21"/>
      <c r="AC21"/>
      <c r="AI21"/>
      <c r="AJ21"/>
      <c r="AK21"/>
      <c r="AL21"/>
      <c r="AM21"/>
      <c r="AN21"/>
      <c r="AO21"/>
      <c r="AP21"/>
      <c r="AQ21"/>
      <c r="AR21"/>
      <c r="AS21"/>
      <c r="AT21"/>
      <c r="AU21"/>
      <c r="AV21"/>
    </row>
    <row r="22" spans="2:48" ht="19.5" customHeight="1">
      <c r="B22" s="12" t="s">
        <v>78</v>
      </c>
      <c r="C22" s="3"/>
      <c r="D22" s="3"/>
      <c r="E22" s="3"/>
      <c r="F22" s="14">
        <v>6.4</v>
      </c>
      <c r="H22" s="5"/>
      <c r="I22" s="5"/>
      <c r="J22" s="5"/>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row>
    <row r="23" spans="2:48" ht="19.5" customHeight="1">
      <c r="B23" t="s">
        <v>115</v>
      </c>
      <c r="F23" s="14">
        <v>10.8</v>
      </c>
      <c r="H23" s="5"/>
      <c r="I23" s="5"/>
      <c r="J23" s="5"/>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row>
    <row r="24" spans="2:48" ht="19.5" customHeight="1">
      <c r="B24" t="s">
        <v>114</v>
      </c>
      <c r="F24" s="14">
        <v>3.5</v>
      </c>
      <c r="H24" s="5"/>
      <c r="I24" s="5"/>
      <c r="J24" s="5"/>
      <c r="K24"/>
      <c r="L24"/>
      <c r="M24"/>
      <c r="N24"/>
      <c r="O24"/>
      <c r="P24"/>
      <c r="Q24" s="103"/>
      <c r="R24" s="103"/>
      <c r="S24" s="103"/>
      <c r="T24" s="108" t="s">
        <v>176</v>
      </c>
      <c r="U24" s="109" t="s">
        <v>177</v>
      </c>
      <c r="V24"/>
      <c r="W24"/>
      <c r="X24"/>
      <c r="Y24"/>
      <c r="Z24"/>
      <c r="AA24"/>
      <c r="AB24"/>
      <c r="AC24"/>
      <c r="AD24"/>
      <c r="AE24"/>
      <c r="AF24"/>
      <c r="AG24"/>
      <c r="AH24"/>
      <c r="AI24"/>
      <c r="AJ24"/>
      <c r="AK24"/>
      <c r="AL24"/>
      <c r="AM24"/>
      <c r="AN24"/>
      <c r="AO24"/>
      <c r="AP24"/>
      <c r="AQ24"/>
      <c r="AR24"/>
      <c r="AS24"/>
      <c r="AT24"/>
      <c r="AU24"/>
      <c r="AV24"/>
    </row>
    <row r="25" spans="2:48" ht="19.5" customHeight="1">
      <c r="B25" s="12" t="s">
        <v>119</v>
      </c>
      <c r="F25" s="14">
        <v>5.4</v>
      </c>
      <c r="H25" s="5"/>
      <c r="I25" s="5"/>
      <c r="J25" s="5"/>
      <c r="K25"/>
      <c r="L25" s="181" t="s">
        <v>163</v>
      </c>
      <c r="M25" s="181"/>
      <c r="N25" s="181"/>
      <c r="O25" s="96" t="s">
        <v>93</v>
      </c>
      <c r="P25"/>
      <c r="Q25" s="107" t="s">
        <v>173</v>
      </c>
      <c r="R25" s="103"/>
      <c r="S25" s="107" t="s">
        <v>174</v>
      </c>
      <c r="T25" s="107">
        <v>25</v>
      </c>
      <c r="U25" s="107">
        <v>42</v>
      </c>
      <c r="V25"/>
      <c r="W25"/>
      <c r="X25"/>
      <c r="Y25"/>
      <c r="Z25"/>
      <c r="AA25"/>
      <c r="AB25"/>
      <c r="AC25"/>
      <c r="AD25"/>
      <c r="AE25"/>
      <c r="AF25"/>
      <c r="AG25"/>
      <c r="AH25"/>
      <c r="AI25"/>
      <c r="AJ25"/>
      <c r="AK25"/>
      <c r="AL25"/>
      <c r="AM25"/>
      <c r="AN25"/>
      <c r="AO25"/>
      <c r="AP25"/>
      <c r="AQ25"/>
      <c r="AR25"/>
      <c r="AS25"/>
      <c r="AT25"/>
      <c r="AU25"/>
      <c r="AV25"/>
    </row>
    <row r="26" spans="2:51" ht="19.5" customHeight="1">
      <c r="B26" t="s">
        <v>79</v>
      </c>
      <c r="F26" s="14">
        <v>5.4</v>
      </c>
      <c r="H26" s="5"/>
      <c r="I26" s="5"/>
      <c r="J26" s="5"/>
      <c r="K26"/>
      <c r="L26" s="97" t="s">
        <v>82</v>
      </c>
      <c r="M26" s="98"/>
      <c r="N26" s="123">
        <v>1</v>
      </c>
      <c r="O26" s="99">
        <v>16</v>
      </c>
      <c r="P26"/>
      <c r="Q26" s="103"/>
      <c r="R26" s="103"/>
      <c r="S26" s="107" t="s">
        <v>175</v>
      </c>
      <c r="T26" s="107">
        <v>16</v>
      </c>
      <c r="U26" s="107"/>
      <c r="V26"/>
      <c r="W26"/>
      <c r="X26"/>
      <c r="Y26"/>
      <c r="Z26"/>
      <c r="AA26"/>
      <c r="AB26"/>
      <c r="AC26"/>
      <c r="AD26"/>
      <c r="AE26"/>
      <c r="AF26"/>
      <c r="AG26"/>
      <c r="AH26"/>
      <c r="AI26"/>
      <c r="AJ26"/>
      <c r="AK26"/>
      <c r="AL26"/>
      <c r="AM26"/>
      <c r="AN26"/>
      <c r="AO26"/>
      <c r="AP26"/>
      <c r="AQ26"/>
      <c r="AR26"/>
      <c r="AS26"/>
      <c r="AT26"/>
      <c r="AU26"/>
      <c r="AV26"/>
      <c r="AY26" s="18"/>
    </row>
    <row r="27" spans="2:48" ht="19.5" customHeight="1">
      <c r="B27" t="s">
        <v>80</v>
      </c>
      <c r="F27" s="14">
        <v>0.16</v>
      </c>
      <c r="H27" s="5"/>
      <c r="I27" s="5"/>
      <c r="J27" s="5"/>
      <c r="K27"/>
      <c r="L27" s="97" t="s">
        <v>164</v>
      </c>
      <c r="M27" s="98"/>
      <c r="N27"/>
      <c r="O27" s="99">
        <v>9</v>
      </c>
      <c r="P27"/>
      <c r="Q27" s="107" t="s">
        <v>178</v>
      </c>
      <c r="R27" s="103"/>
      <c r="S27" s="103"/>
      <c r="T27" s="107">
        <v>13</v>
      </c>
      <c r="U27" s="107">
        <v>37</v>
      </c>
      <c r="V27"/>
      <c r="W27"/>
      <c r="X27"/>
      <c r="Y27"/>
      <c r="Z27"/>
      <c r="AA27"/>
      <c r="AB27"/>
      <c r="AC27"/>
      <c r="AD27"/>
      <c r="AE27"/>
      <c r="AF27"/>
      <c r="AG27"/>
      <c r="AH27"/>
      <c r="AI27"/>
      <c r="AJ27"/>
      <c r="AK27"/>
      <c r="AL27"/>
      <c r="AM27"/>
      <c r="AN27"/>
      <c r="AO27"/>
      <c r="AP27"/>
      <c r="AQ27"/>
      <c r="AR27"/>
      <c r="AS27"/>
      <c r="AT27"/>
      <c r="AU27"/>
      <c r="AV27"/>
    </row>
    <row r="28" spans="2:48" ht="19.5" customHeight="1">
      <c r="B28" t="s">
        <v>81</v>
      </c>
      <c r="F28" s="14">
        <v>30</v>
      </c>
      <c r="H28" s="5"/>
      <c r="I28" s="5"/>
      <c r="J28" s="5"/>
      <c r="K28"/>
      <c r="L28" s="97" t="s">
        <v>83</v>
      </c>
      <c r="M28" s="98"/>
      <c r="N28"/>
      <c r="O28" s="99">
        <v>1.5</v>
      </c>
      <c r="P28"/>
      <c r="Q28"/>
      <c r="R28"/>
      <c r="S28"/>
      <c r="T28"/>
      <c r="U28"/>
      <c r="V28"/>
      <c r="W28"/>
      <c r="X28"/>
      <c r="Y28"/>
      <c r="Z28"/>
      <c r="AA28"/>
      <c r="AB28"/>
      <c r="AC28"/>
      <c r="AI28"/>
      <c r="AJ28"/>
      <c r="AK28"/>
      <c r="AL28"/>
      <c r="AM28"/>
      <c r="AN28"/>
      <c r="AO28"/>
      <c r="AP28"/>
      <c r="AQ28"/>
      <c r="AR28"/>
      <c r="AS28"/>
      <c r="AT28"/>
      <c r="AU28"/>
      <c r="AV28"/>
    </row>
    <row r="29" spans="2:48" ht="19.5" customHeight="1">
      <c r="B29" t="s">
        <v>139</v>
      </c>
      <c r="F29" s="14">
        <v>1</v>
      </c>
      <c r="H29" s="5"/>
      <c r="I29" s="5"/>
      <c r="J29" s="5"/>
      <c r="K29"/>
      <c r="L29"/>
      <c r="M29"/>
      <c r="N29"/>
      <c r="O29"/>
      <c r="P29"/>
      <c r="Q29"/>
      <c r="R29"/>
      <c r="S29"/>
      <c r="T29"/>
      <c r="U29"/>
      <c r="V29"/>
      <c r="W29"/>
      <c r="X29"/>
      <c r="Y29"/>
      <c r="Z29"/>
      <c r="AA29"/>
      <c r="AB29"/>
      <c r="AC29"/>
      <c r="AI29"/>
      <c r="AJ29"/>
      <c r="AK29"/>
      <c r="AL29"/>
      <c r="AM29"/>
      <c r="AN29"/>
      <c r="AO29"/>
      <c r="AP29"/>
      <c r="AQ29"/>
      <c r="AR29"/>
      <c r="AS29"/>
      <c r="AT29"/>
      <c r="AU29"/>
      <c r="AV29"/>
    </row>
    <row r="30" spans="2:48" ht="19.5" customHeight="1">
      <c r="B30" s="100" t="s">
        <v>165</v>
      </c>
      <c r="C30" s="100"/>
      <c r="D30" s="100"/>
      <c r="E30" s="100"/>
      <c r="F30" s="101"/>
      <c r="H30" s="5"/>
      <c r="I30" s="5"/>
      <c r="J30" s="5"/>
      <c r="K30"/>
      <c r="L30"/>
      <c r="M30"/>
      <c r="N30"/>
      <c r="O30"/>
      <c r="P30"/>
      <c r="Q30"/>
      <c r="R30"/>
      <c r="S30"/>
      <c r="T30"/>
      <c r="U30"/>
      <c r="V30"/>
      <c r="W30"/>
      <c r="X30"/>
      <c r="Y30"/>
      <c r="Z30"/>
      <c r="AA30"/>
      <c r="AB30"/>
      <c r="AC30"/>
      <c r="AI30"/>
      <c r="AJ30"/>
      <c r="AK30"/>
      <c r="AL30"/>
      <c r="AM30"/>
      <c r="AN30"/>
      <c r="AO30"/>
      <c r="AP30"/>
      <c r="AQ30"/>
      <c r="AR30"/>
      <c r="AS30"/>
      <c r="AT30"/>
      <c r="AU30"/>
      <c r="AV30"/>
    </row>
    <row r="31" spans="2:48" ht="15.75">
      <c r="B31" s="100" t="s">
        <v>166</v>
      </c>
      <c r="C31" s="100"/>
      <c r="D31" s="100"/>
      <c r="E31" s="100"/>
      <c r="F31" s="124">
        <v>105</v>
      </c>
      <c r="H31" s="5"/>
      <c r="I31" s="5"/>
      <c r="J31" s="5"/>
      <c r="K31"/>
      <c r="L31"/>
      <c r="M31"/>
      <c r="N31"/>
      <c r="O31"/>
      <c r="P31"/>
      <c r="Q31"/>
      <c r="R31"/>
      <c r="S31"/>
      <c r="T31"/>
      <c r="U31"/>
      <c r="V31"/>
      <c r="W31"/>
      <c r="X31"/>
      <c r="Y31"/>
      <c r="Z31"/>
      <c r="AA31"/>
      <c r="AB31"/>
      <c r="AC31"/>
      <c r="AI31"/>
      <c r="AJ31"/>
      <c r="AK31"/>
      <c r="AL31"/>
      <c r="AM31"/>
      <c r="AN31"/>
      <c r="AO31"/>
      <c r="AP31"/>
      <c r="AQ31"/>
      <c r="AR31"/>
      <c r="AS31"/>
      <c r="AT31"/>
      <c r="AU31"/>
      <c r="AV31"/>
    </row>
    <row r="32" spans="2:48" ht="18" customHeight="1">
      <c r="B32" s="36"/>
      <c r="C32" s="36"/>
      <c r="D32" s="36"/>
      <c r="E32" s="36"/>
      <c r="F32" s="37"/>
      <c r="G32" s="38"/>
      <c r="H32" s="38"/>
      <c r="K32"/>
      <c r="L32"/>
      <c r="M32"/>
      <c r="N32"/>
      <c r="O32"/>
      <c r="P32"/>
      <c r="Q32"/>
      <c r="R32"/>
      <c r="S32"/>
      <c r="T32"/>
      <c r="U32"/>
      <c r="V32"/>
      <c r="W32"/>
      <c r="X32"/>
      <c r="Y32"/>
      <c r="Z32"/>
      <c r="AA32"/>
      <c r="AB32"/>
      <c r="AC32"/>
      <c r="AI32"/>
      <c r="AJ32"/>
      <c r="AK32"/>
      <c r="AL32"/>
      <c r="AM32"/>
      <c r="AN32"/>
      <c r="AO32"/>
      <c r="AP32"/>
      <c r="AQ32"/>
      <c r="AR32"/>
      <c r="AS32"/>
      <c r="AT32"/>
      <c r="AU32"/>
      <c r="AV32"/>
    </row>
    <row r="33" spans="2:48" ht="15.75" customHeight="1">
      <c r="B33" s="36"/>
      <c r="C33" s="36"/>
      <c r="D33" s="36"/>
      <c r="E33" s="36"/>
      <c r="F33" s="37"/>
      <c r="G33" s="38"/>
      <c r="H33" s="38"/>
      <c r="K33"/>
      <c r="L33"/>
      <c r="M33"/>
      <c r="N33"/>
      <c r="O33"/>
      <c r="P33"/>
      <c r="Q33"/>
      <c r="R33"/>
      <c r="S33"/>
      <c r="T33"/>
      <c r="U33"/>
      <c r="V33"/>
      <c r="W33"/>
      <c r="X33"/>
      <c r="Y33"/>
      <c r="Z33"/>
      <c r="AA33"/>
      <c r="AB33"/>
      <c r="AC33"/>
      <c r="AI33"/>
      <c r="AJ33"/>
      <c r="AK33"/>
      <c r="AL33"/>
      <c r="AM33"/>
      <c r="AN33"/>
      <c r="AO33"/>
      <c r="AP33"/>
      <c r="AQ33"/>
      <c r="AR33"/>
      <c r="AS33"/>
      <c r="AT33"/>
      <c r="AU33"/>
      <c r="AV33"/>
    </row>
    <row r="34" spans="2:66" ht="15.75" customHeight="1">
      <c r="B34" s="112" t="s">
        <v>167</v>
      </c>
      <c r="C34" s="113"/>
      <c r="D34" s="113"/>
      <c r="E34" s="113"/>
      <c r="F34" s="121">
        <f>(IF($N$26=1,($F$16*$F$11*P34*$F$17)/(10^($F$31/$O$26)),(IF($N$26=2,($F$16*$F$11*P34*$F$17)/(10^($F$31/$O$27)),($F$16*$F$11*P34*$F$17)/(10^($F$31/$O$28))))))</f>
        <v>2.1393903392690292E-05</v>
      </c>
      <c r="G34" s="42"/>
      <c r="H34" s="49"/>
      <c r="I34" s="5"/>
      <c r="J34" s="5"/>
      <c r="K34"/>
      <c r="L34" s="100" t="s">
        <v>106</v>
      </c>
      <c r="M34" s="100"/>
      <c r="N34" s="100"/>
      <c r="O34" s="100"/>
      <c r="P34" s="100">
        <f>F27/(100*F22^2)</f>
        <v>3.9062499999999994E-05</v>
      </c>
      <c r="Q34"/>
      <c r="R34"/>
      <c r="S34" s="32"/>
      <c r="T34" s="33"/>
      <c r="U34" s="32"/>
      <c r="V34" s="32"/>
      <c r="W34" s="47"/>
      <c r="X34" s="32"/>
      <c r="Y34"/>
      <c r="Z34"/>
      <c r="AA34"/>
      <c r="AB34"/>
      <c r="AC34"/>
      <c r="AI34"/>
      <c r="AJ34" s="32"/>
      <c r="AK34"/>
      <c r="AL34" s="32"/>
      <c r="AM34" s="32"/>
      <c r="AN34" s="47"/>
      <c r="AO34" s="32"/>
      <c r="AP34"/>
      <c r="AQ34"/>
      <c r="AR34"/>
      <c r="AS34"/>
      <c r="AT34"/>
      <c r="AX34" s="5"/>
      <c r="AZ34" s="32"/>
      <c r="BB34" s="32"/>
      <c r="BC34" s="32"/>
      <c r="BD34" s="47"/>
      <c r="BE34" s="32"/>
      <c r="BK34" s="5"/>
      <c r="BL34" s="5"/>
      <c r="BM34" s="5"/>
      <c r="BN34" s="5"/>
    </row>
    <row r="35" spans="2:66" ht="15.75">
      <c r="B35" s="115" t="s">
        <v>168</v>
      </c>
      <c r="C35" s="116"/>
      <c r="D35" s="116"/>
      <c r="E35" s="116"/>
      <c r="F35" s="122">
        <f>(IF($N$26=1,($F$16*$F$11*P35*$F$17)/(10^($F$31/$O$26)),(IF($N$26=2,($F$16*$F$11*P35*$F$17)/(10^($F$31/$O$27)),($F$16*$F$11*P35*$F$17)/(10^($F$31/$O$28))))))</f>
        <v>2.5585721366583504E-07</v>
      </c>
      <c r="G35" s="42"/>
      <c r="H35" s="49"/>
      <c r="I35" s="5"/>
      <c r="J35" s="5"/>
      <c r="K35"/>
      <c r="L35" s="100" t="s">
        <v>107</v>
      </c>
      <c r="M35" s="100"/>
      <c r="N35" s="100"/>
      <c r="O35" s="100"/>
      <c r="P35" s="100">
        <f>(0.000001+0.01*(F18/F24^2))*(F28/F23^2)</f>
        <v>4.6716217351137984E-07</v>
      </c>
      <c r="Q35"/>
      <c r="R35"/>
      <c r="S35" s="32"/>
      <c r="T35" s="33"/>
      <c r="U35" s="32"/>
      <c r="V35" s="32"/>
      <c r="W35" s="47"/>
      <c r="X35" s="32"/>
      <c r="Y35" s="34"/>
      <c r="Z35" s="32"/>
      <c r="AA35"/>
      <c r="AB35"/>
      <c r="AC35"/>
      <c r="AI35"/>
      <c r="AJ35" s="32"/>
      <c r="AK35"/>
      <c r="AL35" s="32"/>
      <c r="AM35" s="32"/>
      <c r="AN35" s="32"/>
      <c r="AO35" s="32"/>
      <c r="AP35" s="34"/>
      <c r="AQ35" s="32"/>
      <c r="AR35"/>
      <c r="AS35"/>
      <c r="AT35"/>
      <c r="AX35" s="5"/>
      <c r="AZ35" s="32"/>
      <c r="BB35" s="32"/>
      <c r="BC35" s="32"/>
      <c r="BD35" s="32"/>
      <c r="BE35" s="32"/>
      <c r="BF35" s="34"/>
      <c r="BG35" s="32"/>
      <c r="BK35" s="5"/>
      <c r="BL35" s="5"/>
      <c r="BM35" s="5"/>
      <c r="BN35" s="5"/>
    </row>
    <row r="36" spans="2:66" ht="15.75">
      <c r="B36" s="115" t="s">
        <v>169</v>
      </c>
      <c r="C36" s="116"/>
      <c r="D36" s="116"/>
      <c r="E36" s="116"/>
      <c r="F36" s="122">
        <f>(IF($N$26=1,($F$16*$F$11*P36*$F$17)/(10^($F$31/$AJ$5)),(IF($N$26=2,($F$16*$F$11*P36*$F$17)/(10^($F$31/$AJ$12)),($F$16*$F$11*P36*$F$17)/(10^($F$31/$AJ$19))))))</f>
        <v>0.3701893339339795</v>
      </c>
      <c r="G36" s="42"/>
      <c r="H36" s="49"/>
      <c r="I36" s="5"/>
      <c r="J36" s="5"/>
      <c r="K36"/>
      <c r="L36" s="100" t="s">
        <v>108</v>
      </c>
      <c r="M36" s="100"/>
      <c r="N36" s="100"/>
      <c r="O36" s="100"/>
      <c r="P36" s="100">
        <f>F18/(F25)^2</f>
        <v>3.4293552812071325E-05</v>
      </c>
      <c r="Q36"/>
      <c r="R36"/>
      <c r="S36" s="32"/>
      <c r="T36" s="33"/>
      <c r="U36" s="32"/>
      <c r="V36" s="32"/>
      <c r="W36" s="32"/>
      <c r="X36" s="32"/>
      <c r="Y36" s="32"/>
      <c r="Z36" s="32"/>
      <c r="AA36" s="34"/>
      <c r="AB36" s="32"/>
      <c r="AC36"/>
      <c r="AI36"/>
      <c r="AJ36" s="32"/>
      <c r="AK36"/>
      <c r="AL36" s="32"/>
      <c r="AM36" s="32"/>
      <c r="AN36" s="32"/>
      <c r="AO36" s="32"/>
      <c r="AP36" s="32"/>
      <c r="AQ36" s="32"/>
      <c r="AR36" s="34"/>
      <c r="AS36" s="32"/>
      <c r="AT36"/>
      <c r="AX36" s="5"/>
      <c r="AZ36" s="32"/>
      <c r="BB36" s="32"/>
      <c r="BC36" s="32"/>
      <c r="BD36" s="32"/>
      <c r="BE36" s="32"/>
      <c r="BF36" s="32"/>
      <c r="BG36" s="32"/>
      <c r="BH36" s="34"/>
      <c r="BI36" s="32"/>
      <c r="BK36" s="5"/>
      <c r="BL36" s="5"/>
      <c r="BM36" s="5"/>
      <c r="BN36" s="5"/>
    </row>
    <row r="37" spans="2:66" ht="15.75">
      <c r="B37" s="115" t="s">
        <v>170</v>
      </c>
      <c r="C37" s="116"/>
      <c r="D37" s="116"/>
      <c r="E37" s="116"/>
      <c r="F37" s="122">
        <f>IF(OR($N$26=1,$N$26=2),(IF($F$31&lt;25,($F$16*$F$11*P37*$F$17*10)/(10^($F$31/$T$25)),0.1*($F$16*$F$11*P37*$F$17*10)/(10^(($F$31-25)/$T$26)))),$F$16*$F$11*P37*$F$17*10/(10^($F$31/$U$25)))</f>
        <v>0.04814814814814814</v>
      </c>
      <c r="G37" s="102"/>
      <c r="H37" s="102"/>
      <c r="I37" s="5"/>
      <c r="J37" s="5"/>
      <c r="K37"/>
      <c r="L37" s="100" t="s">
        <v>109</v>
      </c>
      <c r="M37" s="100"/>
      <c r="N37" s="100"/>
      <c r="O37" s="100"/>
      <c r="P37" s="100">
        <f>F20/F25</f>
        <v>0.002407407407407407</v>
      </c>
      <c r="Q37"/>
      <c r="R37"/>
      <c r="S37" s="32"/>
      <c r="T37" s="33"/>
      <c r="U37" s="32"/>
      <c r="V37" s="32"/>
      <c r="W37" s="32"/>
      <c r="X37" s="32"/>
      <c r="Y37" s="32"/>
      <c r="Z37" s="32"/>
      <c r="AA37" s="32"/>
      <c r="AB37" s="32"/>
      <c r="AC37" s="34"/>
      <c r="AD37" s="32"/>
      <c r="AI37"/>
      <c r="AJ37" s="32"/>
      <c r="AK37"/>
      <c r="AL37" s="32"/>
      <c r="AM37" s="32"/>
      <c r="AN37" s="32"/>
      <c r="AO37" s="32"/>
      <c r="AP37" s="32"/>
      <c r="AQ37" s="32"/>
      <c r="AR37" s="32"/>
      <c r="AS37" s="32"/>
      <c r="AT37" s="34"/>
      <c r="AU37" s="32"/>
      <c r="AX37" s="5"/>
      <c r="AZ37" s="32"/>
      <c r="BB37" s="32"/>
      <c r="BC37" s="32"/>
      <c r="BD37" s="32"/>
      <c r="BE37" s="32"/>
      <c r="BF37" s="32"/>
      <c r="BG37" s="32"/>
      <c r="BH37" s="32"/>
      <c r="BI37" s="32"/>
      <c r="BJ37" s="34"/>
      <c r="BK37" s="32"/>
      <c r="BL37" s="5"/>
      <c r="BM37" s="5"/>
      <c r="BN37" s="5"/>
    </row>
    <row r="38" spans="2:66" ht="15" customHeight="1">
      <c r="B38" s="115" t="s">
        <v>171</v>
      </c>
      <c r="C38" s="116"/>
      <c r="D38" s="116"/>
      <c r="E38" s="116"/>
      <c r="F38" s="122">
        <f>IF(OR($N$26=1,$N$26=2),($F$16*$F$11*P38*$F$17*10)/(10^($F$31/$T$27)),$F$16*$F$11*P38*$F$17*10/(10^($F$31/$U$27)))</f>
        <v>4.0332627114399214E-05</v>
      </c>
      <c r="G38" s="42"/>
      <c r="H38" s="42"/>
      <c r="I38" s="5"/>
      <c r="J38" s="5"/>
      <c r="K38"/>
      <c r="L38" s="100" t="s">
        <v>110</v>
      </c>
      <c r="M38" s="100"/>
      <c r="N38" s="100"/>
      <c r="O38" s="100"/>
      <c r="P38" s="100">
        <f>0.1*F20*F29/F26</f>
        <v>0.00024074074074074072</v>
      </c>
      <c r="Q38"/>
      <c r="R38"/>
      <c r="S38" s="32"/>
      <c r="T38" s="33"/>
      <c r="U38" s="32"/>
      <c r="V38" s="32"/>
      <c r="W38" s="32"/>
      <c r="X38" s="32"/>
      <c r="Y38" s="32"/>
      <c r="Z38" s="32"/>
      <c r="AA38" s="32"/>
      <c r="AB38" s="32"/>
      <c r="AC38" s="32"/>
      <c r="AD38" s="32"/>
      <c r="AE38" s="34"/>
      <c r="AF38" s="35"/>
      <c r="AI38"/>
      <c r="AJ38" s="32"/>
      <c r="AK38"/>
      <c r="AL38" s="32"/>
      <c r="AM38" s="32"/>
      <c r="AN38" s="32"/>
      <c r="AO38" s="32"/>
      <c r="AP38" s="32"/>
      <c r="AQ38" s="32"/>
      <c r="AR38" s="32"/>
      <c r="AS38" s="32"/>
      <c r="AT38" s="32"/>
      <c r="AU38" s="32"/>
      <c r="AV38" s="34"/>
      <c r="AW38" s="35"/>
      <c r="AX38" s="5"/>
      <c r="AZ38" s="32"/>
      <c r="BB38" s="32"/>
      <c r="BC38" s="32"/>
      <c r="BD38" s="32"/>
      <c r="BE38" s="32"/>
      <c r="BF38" s="32"/>
      <c r="BG38" s="32"/>
      <c r="BH38" s="32"/>
      <c r="BI38" s="32"/>
      <c r="BJ38" s="32"/>
      <c r="BK38" s="32"/>
      <c r="BL38" s="34"/>
      <c r="BM38" s="35"/>
      <c r="BN38" s="5"/>
    </row>
    <row r="39" spans="2:48" ht="15.75">
      <c r="B39" s="105"/>
      <c r="C39" s="36"/>
      <c r="D39" s="36"/>
      <c r="E39" s="36"/>
      <c r="F39" s="106"/>
      <c r="G39" s="40"/>
      <c r="H39" s="40"/>
      <c r="I39" s="5"/>
      <c r="J39" s="5"/>
      <c r="K39"/>
      <c r="L39"/>
      <c r="M39"/>
      <c r="N39"/>
      <c r="O39"/>
      <c r="P39"/>
      <c r="Q39"/>
      <c r="R39"/>
      <c r="S39"/>
      <c r="T39"/>
      <c r="U39"/>
      <c r="V39"/>
      <c r="W39"/>
      <c r="X39"/>
      <c r="Y39"/>
      <c r="Z39"/>
      <c r="AA39"/>
      <c r="AB39"/>
      <c r="AC39"/>
      <c r="AI39"/>
      <c r="AJ39"/>
      <c r="AK39"/>
      <c r="AL39"/>
      <c r="AM39"/>
      <c r="AN39"/>
      <c r="AO39"/>
      <c r="AP39"/>
      <c r="AQ39"/>
      <c r="AR39"/>
      <c r="AS39"/>
      <c r="AT39"/>
      <c r="AU39"/>
      <c r="AV39"/>
    </row>
    <row r="40" spans="2:48" ht="15.75">
      <c r="B40" s="118" t="s">
        <v>172</v>
      </c>
      <c r="C40" s="119"/>
      <c r="D40" s="119"/>
      <c r="E40" s="119"/>
      <c r="F40" s="120">
        <f>SUM(F34:F39)</f>
        <v>0.41839946446984844</v>
      </c>
      <c r="G40" s="43"/>
      <c r="H40" s="48"/>
      <c r="AI40"/>
      <c r="AJ40"/>
      <c r="AK40"/>
      <c r="AL40"/>
      <c r="AM40"/>
      <c r="AN40"/>
      <c r="AO40"/>
      <c r="AP40"/>
      <c r="AQ40"/>
      <c r="AR40"/>
      <c r="AS40"/>
      <c r="AT40"/>
      <c r="AU40"/>
      <c r="AV40"/>
    </row>
    <row r="41" spans="35:48" ht="15.75">
      <c r="AI41"/>
      <c r="AJ41"/>
      <c r="AK41"/>
      <c r="AL41"/>
      <c r="AM41"/>
      <c r="AN41"/>
      <c r="AO41"/>
      <c r="AP41"/>
      <c r="AQ41"/>
      <c r="AR41"/>
      <c r="AS41"/>
      <c r="AT41"/>
      <c r="AU41"/>
      <c r="AV41"/>
    </row>
    <row r="42" spans="35:48" ht="15.75">
      <c r="AI42"/>
      <c r="AJ42"/>
      <c r="AK42"/>
      <c r="AL42"/>
      <c r="AM42"/>
      <c r="AN42"/>
      <c r="AO42"/>
      <c r="AP42"/>
      <c r="AQ42"/>
      <c r="AR42"/>
      <c r="AS42"/>
      <c r="AT42"/>
      <c r="AU42"/>
      <c r="AV42"/>
    </row>
    <row r="43" spans="35:48" ht="15.75">
      <c r="AI43"/>
      <c r="AJ43"/>
      <c r="AK43"/>
      <c r="AL43"/>
      <c r="AM43"/>
      <c r="AN43"/>
      <c r="AO43"/>
      <c r="AP43"/>
      <c r="AQ43"/>
      <c r="AR43"/>
      <c r="AS43"/>
      <c r="AT43"/>
      <c r="AU43"/>
      <c r="AV43"/>
    </row>
    <row r="44" spans="35:48" ht="15.75">
      <c r="AI44"/>
      <c r="AJ44"/>
      <c r="AK44"/>
      <c r="AL44"/>
      <c r="AM44"/>
      <c r="AN44"/>
      <c r="AO44"/>
      <c r="AP44"/>
      <c r="AQ44"/>
      <c r="AR44"/>
      <c r="AS44"/>
      <c r="AT44"/>
      <c r="AU44"/>
      <c r="AV44"/>
    </row>
    <row r="45" spans="35:48" ht="15.75">
      <c r="AI45"/>
      <c r="AJ45"/>
      <c r="AK45"/>
      <c r="AL45"/>
      <c r="AM45"/>
      <c r="AN45"/>
      <c r="AO45"/>
      <c r="AP45"/>
      <c r="AQ45"/>
      <c r="AR45"/>
      <c r="AS45"/>
      <c r="AT45"/>
      <c r="AU45"/>
      <c r="AV45"/>
    </row>
    <row r="46" spans="35:48" ht="15.75">
      <c r="AI46"/>
      <c r="AJ46"/>
      <c r="AK46"/>
      <c r="AL46"/>
      <c r="AM46"/>
      <c r="AN46"/>
      <c r="AO46"/>
      <c r="AP46"/>
      <c r="AQ46"/>
      <c r="AR46"/>
      <c r="AS46"/>
      <c r="AT46"/>
      <c r="AU46"/>
      <c r="AV46"/>
    </row>
    <row r="47" spans="35:48" ht="15.75">
      <c r="AI47"/>
      <c r="AJ47"/>
      <c r="AK47"/>
      <c r="AL47"/>
      <c r="AM47"/>
      <c r="AN47"/>
      <c r="AO47"/>
      <c r="AP47"/>
      <c r="AQ47"/>
      <c r="AR47"/>
      <c r="AS47"/>
      <c r="AT47"/>
      <c r="AU47"/>
      <c r="AV47"/>
    </row>
    <row r="48" spans="35:48" ht="15.75">
      <c r="AI48"/>
      <c r="AJ48"/>
      <c r="AK48"/>
      <c r="AL48"/>
      <c r="AM48"/>
      <c r="AN48"/>
      <c r="AO48"/>
      <c r="AP48"/>
      <c r="AQ48"/>
      <c r="AR48"/>
      <c r="AS48"/>
      <c r="AT48"/>
      <c r="AU48"/>
      <c r="AV48"/>
    </row>
    <row r="49" spans="35:48" ht="15.75">
      <c r="AI49"/>
      <c r="AJ49"/>
      <c r="AK49"/>
      <c r="AL49"/>
      <c r="AM49"/>
      <c r="AN49"/>
      <c r="AO49"/>
      <c r="AP49"/>
      <c r="AQ49"/>
      <c r="AR49"/>
      <c r="AS49"/>
      <c r="AT49"/>
      <c r="AU49"/>
      <c r="AV49"/>
    </row>
    <row r="50" spans="35:48" ht="15.75">
      <c r="AI50"/>
      <c r="AJ50"/>
      <c r="AK50"/>
      <c r="AL50"/>
      <c r="AM50"/>
      <c r="AN50"/>
      <c r="AO50"/>
      <c r="AP50"/>
      <c r="AQ50"/>
      <c r="AR50"/>
      <c r="AS50"/>
      <c r="AT50"/>
      <c r="AU50"/>
      <c r="AV50"/>
    </row>
    <row r="51" spans="35:48" ht="15.75">
      <c r="AI51"/>
      <c r="AJ51"/>
      <c r="AK51"/>
      <c r="AL51"/>
      <c r="AM51"/>
      <c r="AN51"/>
      <c r="AO51"/>
      <c r="AP51"/>
      <c r="AQ51"/>
      <c r="AR51"/>
      <c r="AS51"/>
      <c r="AT51"/>
      <c r="AU51"/>
      <c r="AV51"/>
    </row>
  </sheetData>
  <sheetProtection password="CC3B" sheet="1" objects="1" scenarios="1"/>
  <mergeCells count="18">
    <mergeCell ref="L25:N25"/>
    <mergeCell ref="B16:D16"/>
    <mergeCell ref="B17:D17"/>
    <mergeCell ref="B18:D18"/>
    <mergeCell ref="B21:D21"/>
    <mergeCell ref="B11:D11"/>
    <mergeCell ref="B12:D12"/>
    <mergeCell ref="B13:D13"/>
    <mergeCell ref="B15:D15"/>
    <mergeCell ref="F6:G6"/>
    <mergeCell ref="H6:I6"/>
    <mergeCell ref="B9:D9"/>
    <mergeCell ref="B10:D10"/>
    <mergeCell ref="C4:D4"/>
    <mergeCell ref="H4:I4"/>
    <mergeCell ref="C5:D5"/>
    <mergeCell ref="F5:G5"/>
    <mergeCell ref="H5:I5"/>
  </mergeCells>
  <printOptions/>
  <pageMargins left="0.75" right="0.75" top="1" bottom="1" header="0" footer="0"/>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fpro@hcu-lblesa.es</Manager>
  <Company>Servicio Física y Prot. Rad.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Blindajes AL</dc:title>
  <dc:subject>Blindajes</dc:subject>
  <dc:creator>Mª A. Rivas, P.Ruiz</dc:creator>
  <cp:keywords/>
  <dc:description/>
  <cp:lastModifiedBy>fpro</cp:lastModifiedBy>
  <cp:lastPrinted>2007-08-07T09:45:35Z</cp:lastPrinted>
  <dcterms:created xsi:type="dcterms:W3CDTF">1999-06-17T11:53:34Z</dcterms:created>
  <dcterms:modified xsi:type="dcterms:W3CDTF">2010-11-18T10:50:23Z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